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firstSheet="1" activeTab="3"/>
  </bookViews>
  <sheets>
    <sheet name="2. Показатели КПМ" sheetId="1" r:id="rId1"/>
    <sheet name="3.Показатели КПМ по месяцам " sheetId="2" r:id="rId2"/>
    <sheet name="4. Показатели КПМ по МО " sheetId="3" r:id="rId3"/>
    <sheet name="5. Мероприятия КПМ " sheetId="4" r:id="rId4"/>
    <sheet name="6. Финансовое обеспечение ." sheetId="5" r:id="rId5"/>
  </sheets>
  <definedNames>
    <definedName name="_ftn2" localSheetId="0">'2. Показатели КПМ'!#REF!</definedName>
    <definedName name="_ftn3" localSheetId="0">'2. Показатели КПМ'!#REF!</definedName>
    <definedName name="_ftn4" localSheetId="0">'2. Показатели КПМ'!#REF!</definedName>
    <definedName name="_ftn5" localSheetId="0">'2. Показатели КПМ'!#REF!</definedName>
    <definedName name="_ftnref2" localSheetId="0">'2. Показатели КПМ'!#REF!</definedName>
    <definedName name="_ftnref3" localSheetId="0">'2. Показатели КПМ'!#REF!</definedName>
    <definedName name="_ftnref4" localSheetId="0">'2. Показатели КПМ'!#REF!</definedName>
    <definedName name="_ftnref5" localSheetId="0">'2. Показатели КПМ'!#REF!</definedName>
    <definedName name="_xlnm.Print_Titles" localSheetId="2">'4. Показатели КПМ по МО '!$4:$6</definedName>
    <definedName name="_xlnm.Print_Titles" localSheetId="3">'5. Мероприятия КПМ '!$4:$6</definedName>
    <definedName name="_xlnm.Print_Titles" localSheetId="4">'6. Финансовое обеспечение .'!$42:$44</definedName>
    <definedName name="_xlnm.Print_Area" localSheetId="0">'2. Показатели КПМ'!$A$2:$Q$20</definedName>
    <definedName name="_xlnm.Print_Area" localSheetId="1">'3.Показатели КПМ по месяцам '!$A$2:$P$18</definedName>
    <definedName name="_xlnm.Print_Area" localSheetId="2">'4. Показатели КПМ по МО '!$A$2:$K$33</definedName>
    <definedName name="_xlnm.Print_Area" localSheetId="3">'5. Мероприятия КПМ '!$A$2:$N$24</definedName>
    <definedName name="_xlnm.Print_Area" localSheetId="4">'6. Финансовое обеспечение .'!$A$2:$O$155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9" i="2"/>
  <c r="P46" i="5"/>
  <c r="J133" l="1"/>
  <c r="I114"/>
  <c r="N73"/>
  <c r="M73"/>
  <c r="L73"/>
  <c r="N52"/>
  <c r="M52"/>
  <c r="L52"/>
  <c r="L49"/>
  <c r="M49"/>
  <c r="N49"/>
  <c r="O147" l="1"/>
  <c r="O146"/>
  <c r="O145"/>
  <c r="O144"/>
  <c r="O143"/>
  <c r="O142"/>
  <c r="O133"/>
  <c r="O124"/>
  <c r="O123"/>
  <c r="O114"/>
  <c r="O113"/>
  <c r="O95"/>
  <c r="O94"/>
  <c r="O83"/>
  <c r="O82"/>
  <c r="O73"/>
  <c r="O72"/>
  <c r="O63"/>
  <c r="O62"/>
  <c r="O61"/>
  <c r="O60"/>
  <c r="O59"/>
  <c r="O58"/>
  <c r="O57"/>
  <c r="O56"/>
  <c r="O55"/>
  <c r="K91" l="1"/>
  <c r="K52" s="1"/>
  <c r="N87"/>
  <c r="M87"/>
  <c r="L87"/>
  <c r="K87"/>
  <c r="K49" s="1"/>
  <c r="F23" i="3" l="1"/>
  <c r="N46" i="5" l="1"/>
  <c r="M46"/>
  <c r="L46"/>
  <c r="K46"/>
  <c r="J46"/>
  <c r="I46"/>
  <c r="O46" l="1"/>
  <c r="N110"/>
  <c r="M110"/>
  <c r="L110"/>
  <c r="K110"/>
  <c r="J110"/>
  <c r="I110"/>
  <c r="O110" s="1"/>
  <c r="O107"/>
  <c r="O104"/>
  <c r="O90"/>
  <c r="H90"/>
  <c r="J87"/>
  <c r="I87"/>
  <c r="P82"/>
  <c r="H82"/>
  <c r="H86" s="1"/>
  <c r="H91" s="1"/>
  <c r="H57"/>
  <c r="Q55"/>
  <c r="H46"/>
  <c r="O39"/>
  <c r="H39"/>
  <c r="N38"/>
  <c r="M38"/>
  <c r="L38"/>
  <c r="K38"/>
  <c r="J38"/>
  <c r="I38"/>
  <c r="H38"/>
  <c r="O37"/>
  <c r="I36"/>
  <c r="O36" s="1"/>
  <c r="O35"/>
  <c r="O34" s="1"/>
  <c r="H35"/>
  <c r="H34" s="1"/>
  <c r="N34"/>
  <c r="M34"/>
  <c r="L34"/>
  <c r="K34"/>
  <c r="J34"/>
  <c r="O33"/>
  <c r="O32"/>
  <c r="O31" s="1"/>
  <c r="N31"/>
  <c r="M31"/>
  <c r="L31"/>
  <c r="I31"/>
  <c r="H31"/>
  <c r="O29"/>
  <c r="H29"/>
  <c r="H22" s="1"/>
  <c r="O28"/>
  <c r="I27"/>
  <c r="O26"/>
  <c r="O25"/>
  <c r="O24" s="1"/>
  <c r="N24"/>
  <c r="M24"/>
  <c r="L24"/>
  <c r="K24"/>
  <c r="J24"/>
  <c r="I24"/>
  <c r="H24"/>
  <c r="O21"/>
  <c r="N20"/>
  <c r="M20"/>
  <c r="L20"/>
  <c r="K20"/>
  <c r="J20"/>
  <c r="I20"/>
  <c r="O19"/>
  <c r="J19"/>
  <c r="I19"/>
  <c r="O18"/>
  <c r="O17" s="1"/>
  <c r="N17"/>
  <c r="M17"/>
  <c r="L17"/>
  <c r="K17"/>
  <c r="J17"/>
  <c r="I17"/>
  <c r="H17"/>
  <c r="N16"/>
  <c r="M16"/>
  <c r="L16"/>
  <c r="L14" s="1"/>
  <c r="L12" s="1"/>
  <c r="K16"/>
  <c r="K14" s="1"/>
  <c r="K12" s="1"/>
  <c r="J16"/>
  <c r="J14" s="1"/>
  <c r="J12" s="1"/>
  <c r="I16"/>
  <c r="H16"/>
  <c r="O15"/>
  <c r="N14"/>
  <c r="N12" s="1"/>
  <c r="M14"/>
  <c r="M12" s="1"/>
  <c r="I14"/>
  <c r="I12" s="1"/>
  <c r="O13"/>
  <c r="N11"/>
  <c r="M11"/>
  <c r="L11"/>
  <c r="K11"/>
  <c r="J11"/>
  <c r="I11"/>
  <c r="N9"/>
  <c r="M9"/>
  <c r="L9"/>
  <c r="K9"/>
  <c r="J9"/>
  <c r="I9"/>
  <c r="H9"/>
  <c r="A1"/>
  <c r="O17" i="4"/>
  <c r="O12"/>
  <c r="G10"/>
  <c r="O10" s="1"/>
  <c r="A1"/>
  <c r="F26" i="3"/>
  <c r="E23"/>
  <c r="F12"/>
  <c r="E12"/>
  <c r="G8"/>
  <c r="F8"/>
  <c r="E8"/>
  <c r="C8"/>
  <c r="A1"/>
  <c r="I12" i="2"/>
  <c r="J12" s="1"/>
  <c r="J11"/>
  <c r="K11" s="1"/>
  <c r="A1"/>
  <c r="H14" i="1"/>
  <c r="H13"/>
  <c r="H11" s="1"/>
  <c r="N11"/>
  <c r="M11"/>
  <c r="L11"/>
  <c r="K11"/>
  <c r="J11"/>
  <c r="I11"/>
  <c r="A1"/>
  <c r="O87" i="5" l="1"/>
  <c r="L11" i="2"/>
  <c r="M11" s="1"/>
  <c r="H52" i="5"/>
  <c r="N8"/>
  <c r="N10"/>
  <c r="O38"/>
  <c r="O16"/>
  <c r="I91"/>
  <c r="I52" s="1"/>
  <c r="O9"/>
  <c r="J49"/>
  <c r="J91"/>
  <c r="J52" s="1"/>
  <c r="X46"/>
  <c r="M8"/>
  <c r="M10"/>
  <c r="L8"/>
  <c r="L10"/>
  <c r="J8"/>
  <c r="J10"/>
  <c r="O22"/>
  <c r="O86"/>
  <c r="H49"/>
  <c r="I8"/>
  <c r="I10"/>
  <c r="K10"/>
  <c r="K8"/>
  <c r="H14"/>
  <c r="I49"/>
  <c r="K12" i="2"/>
  <c r="L12" s="1"/>
  <c r="H30" i="5"/>
  <c r="O91" l="1"/>
  <c r="O49"/>
  <c r="O52"/>
  <c r="M12" i="2"/>
  <c r="S8" i="5"/>
  <c r="O30"/>
  <c r="O27" s="1"/>
  <c r="H23"/>
  <c r="O14"/>
  <c r="H12"/>
  <c r="H27"/>
  <c r="P52" l="1"/>
  <c r="O12"/>
  <c r="H8"/>
  <c r="O8" s="1"/>
  <c r="H10"/>
  <c r="O10" s="1"/>
  <c r="H11"/>
  <c r="O11" s="1"/>
  <c r="O23"/>
  <c r="O20" s="1"/>
  <c r="H20"/>
</calcChain>
</file>

<file path=xl/sharedStrings.xml><?xml version="1.0" encoding="utf-8"?>
<sst xmlns="http://schemas.openxmlformats.org/spreadsheetml/2006/main" count="685" uniqueCount="246">
  <si>
    <t>VIII. Паспорт комплекса процессных мероприятий «Обеспечение сохранности существующей сети автомобильных дорог и безопасности дорожного движения» (далее – комплекс процессных мероприятий 1)</t>
  </si>
  <si>
    <t>(далее – комплекс процессных мероприятий 1)</t>
  </si>
  <si>
    <t>2. Показатели комплекса процессных мероприятий 1</t>
  </si>
  <si>
    <t>№ п/п</t>
  </si>
  <si>
    <t>Наименование показателя / задачи</t>
  </si>
  <si>
    <t>Признак возрастания / убывания</t>
  </si>
  <si>
    <t>Уровень показателя</t>
  </si>
  <si>
    <t>Единица измерения (по ОКЕИ)</t>
  </si>
  <si>
    <t>Базовое значение</t>
  </si>
  <si>
    <t>Значение показателей по годам</t>
  </si>
  <si>
    <t>Признак "Участие муниципальных образований"</t>
  </si>
  <si>
    <t xml:space="preserve">Информационная система </t>
  </si>
  <si>
    <t>значение</t>
  </si>
  <si>
    <t xml:space="preserve"> год</t>
  </si>
  <si>
    <t xml:space="preserve">   </t>
  </si>
  <si>
    <t>1.</t>
  </si>
  <si>
    <t xml:space="preserve"> Обеспечение сохранности существующей сети автомобильных дорог  и безопасности дорожного движения     </t>
  </si>
  <si>
    <t>1.1.</t>
  </si>
  <si>
    <t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                    в результате капитального ремонта       и ремонта автомобильных дорог</t>
  </si>
  <si>
    <t>Прогрессирую-щий</t>
  </si>
  <si>
    <t>Государственная программа</t>
  </si>
  <si>
    <t>Км</t>
  </si>
  <si>
    <t>да</t>
  </si>
  <si>
    <t xml:space="preserve">Протяженность автодорог, подлежащих содержанию </t>
  </si>
  <si>
    <t xml:space="preserve"> КПМ</t>
  </si>
  <si>
    <t>км</t>
  </si>
  <si>
    <t>ОГКУ "Управление дорожного хозяйства и транспорта Белгородской области"</t>
  </si>
  <si>
    <t>1.2.</t>
  </si>
  <si>
    <t>Протяженность автодорог регионального значения, подлежащих ремонту</t>
  </si>
  <si>
    <t>1.3.</t>
  </si>
  <si>
    <t>Протяженность автодорог местного значения, подлежащих ремонту</t>
  </si>
  <si>
    <t>Министерство автомобильных дорог и транспорта Белгородской области</t>
  </si>
  <si>
    <t>1.4.</t>
  </si>
  <si>
    <t>Количество мостов регионального значения, подлежащих ремонту</t>
  </si>
  <si>
    <t>штук</t>
  </si>
  <si>
    <t xml:space="preserve"> -</t>
  </si>
  <si>
    <t>ОГКУ "УпрДорТранс"</t>
  </si>
  <si>
    <t>1.5.</t>
  </si>
  <si>
    <t>Количество мостов местного значения, подлежащих ремонту</t>
  </si>
  <si>
    <t>1.6.</t>
  </si>
  <si>
    <t>Протяженность автодорог регионального значения, подлежащих капитальному ремонту</t>
  </si>
  <si>
    <t xml:space="preserve"> - </t>
  </si>
  <si>
    <t>1.7.</t>
  </si>
  <si>
    <t>Протяженность автодорог, обустроенных наружным освещением, км</t>
  </si>
  <si>
    <t>1.8.</t>
  </si>
  <si>
    <t>Протяженность искусственных сооружений, подлежащих капитальному ремонту</t>
  </si>
  <si>
    <t>пог. м</t>
  </si>
  <si>
    <t>1.9.</t>
  </si>
  <si>
    <t>Количество изготовленной проектно-сметной документации</t>
  </si>
  <si>
    <t xml:space="preserve">    </t>
  </si>
  <si>
    <t xml:space="preserve"> </t>
  </si>
  <si>
    <t>Наименование показателя</t>
  </si>
  <si>
    <t>Плановые значения по кварталам/месяцам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</si>
  <si>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</si>
  <si>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</si>
  <si>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</si>
  <si>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</si>
  <si>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</si>
  <si>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</si>
  <si>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</si>
  <si>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</si>
  <si>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</si>
  <si>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</si>
  <si>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</si>
  <si>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в результате капитального ремонта и ремонта автомобильных дорог</t>
  </si>
  <si>
    <t>пог.м</t>
  </si>
  <si>
    <t xml:space="preserve">Наименование муниципального образования </t>
  </si>
  <si>
    <t xml:space="preserve">Значения по годам, км </t>
  </si>
  <si>
    <t>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</si>
  <si>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</si>
  <si>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</si>
  <si>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</si>
  <si>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</si>
  <si>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</si>
  <si>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</si>
  <si>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</si>
  <si>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 xml:space="preserve">Алексеевский муниципальный округ                    </t>
  </si>
  <si>
    <t xml:space="preserve">Валуйский муниципальный округ                        </t>
  </si>
  <si>
    <t xml:space="preserve">Грайворонский муниципальный округ                 </t>
  </si>
  <si>
    <t xml:space="preserve">Губкинский городской округ </t>
  </si>
  <si>
    <t>1.10.</t>
  </si>
  <si>
    <t>1.11.</t>
  </si>
  <si>
    <t>1.12.</t>
  </si>
  <si>
    <t>1.13.</t>
  </si>
  <si>
    <t>1.14.</t>
  </si>
  <si>
    <t xml:space="preserve">Новооскольский муниципальный округ               </t>
  </si>
  <si>
    <t>1.15.</t>
  </si>
  <si>
    <t>1.16.</t>
  </si>
  <si>
    <t>1.17.</t>
  </si>
  <si>
    <t>1.18.</t>
  </si>
  <si>
    <t xml:space="preserve">Старооскольский городской округ </t>
  </si>
  <si>
    <t>1.19.</t>
  </si>
  <si>
    <t>1.20.</t>
  </si>
  <si>
    <t>Шебекинский муниципальный округ</t>
  </si>
  <si>
    <t>1.21.</t>
  </si>
  <si>
    <t xml:space="preserve">Яковлевский муниципальный округ </t>
  </si>
  <si>
    <t>1.22.</t>
  </si>
  <si>
    <t xml:space="preserve">город Белгород </t>
  </si>
  <si>
    <t>*</t>
  </si>
  <si>
    <t>При формировании бюджета дорожного фонда Белгородской области показатель рассчитывается на 1-й финансовый год.</t>
  </si>
  <si>
    <t>5. Перечень мероприятий (результатов) комплекса процессных мероприятий 1</t>
  </si>
  <si>
    <t>Наименование мероприятия (результата)</t>
  </si>
  <si>
    <t>Тип мероприятия (результата)</t>
  </si>
  <si>
    <t>Значения мероприятия (результата), параметра характеристики мероприятия (результата) по годам</t>
  </si>
  <si>
    <t>Связь с показателями комплекса процессных мероприятий</t>
  </si>
  <si>
    <t xml:space="preserve">  Обеспечение сохранности существующей сети автомобильных дорог  и безопасности дорожного движения     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</si>
  <si>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</t>
  </si>
  <si>
    <t xml:space="preserve">Приобретение товаров, выполнение работ, оказание услуг </t>
  </si>
  <si>
    <t xml:space="preserve">  </t>
  </si>
  <si>
    <t>1.1.1.</t>
  </si>
  <si>
    <t>Выполнен комплекс дорожных работ по содержанию автодорог и мостов регионального значения и мероприятий по обеспечению безопасности дорожного движения</t>
  </si>
  <si>
    <t>Отремонтировано автодорог регионального значения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</si>
  <si>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в результате капитального ремонта и ремонта автомобильных дорог</t>
  </si>
  <si>
    <t>1.2.1.</t>
  </si>
  <si>
    <t>Произведены дорожные работы по ремонту автодорог регионального значения.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</si>
  <si>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Отремонтировано автодорог местного значения</t>
  </si>
  <si>
    <t xml:space="preserve">Оказание услуг 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</si>
  <si>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в результате капитального ремонта и ремонта автомобильных дорог</t>
  </si>
  <si>
    <t>1.3.1.</t>
  </si>
  <si>
    <t>Штука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</si>
  <si>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 в результате капитального ремонта и ремонта автомобильных дорог</t>
  </si>
  <si>
    <t>1.4.1.</t>
  </si>
  <si>
    <t>Капитально отремонтировано автодорог регионального значения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</si>
  <si>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в результате капитального ремонта и ремонта автомобильных дорог</t>
  </si>
  <si>
    <t>1.5.1.</t>
  </si>
  <si>
    <t>Капитально отремонтировано дорог по элементам обустройства (устройство недостающего электроосвещения)</t>
  </si>
  <si>
    <t>1.6.1.</t>
  </si>
  <si>
    <t>Выполнены работы по устройству недостающего электроосвещения на автодорогах регионального значения.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</si>
  <si>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Капитально отремонтировано искусственных сооружений</t>
  </si>
  <si>
    <t xml:space="preserve">Приобретение товаров, работ, услуг </t>
  </si>
  <si>
    <t>1.8.1.</t>
  </si>
  <si>
    <t>Изготовлена проектно-сметная документация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</si>
  <si>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в результате капитального ремонта и ремонта автомобильных дорог</t>
  </si>
  <si>
    <t>1.7.1.</t>
  </si>
  <si>
    <t>Получены положительные заключения государственной экспертизы</t>
  </si>
  <si>
    <t>6. Финансовое обеспечение комплекса процессных мероприятий 1</t>
  </si>
  <si>
    <t>Таблица 1</t>
  </si>
  <si>
    <t>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</si>
  <si>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</si>
  <si>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</si>
  <si>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</si>
  <si>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Всего</t>
  </si>
  <si>
    <t>Всего по комплексу процессных мероприятий «Обеспечение сохранности существующей сети автомобильных дорог»</t>
  </si>
  <si>
    <t>Всего, в том числе:</t>
  </si>
  <si>
    <t xml:space="preserve">Федеральный бюджет </t>
  </si>
  <si>
    <t>Областной бюджет</t>
  </si>
  <si>
    <t>Консолидированные бюджеты муниципальных образований</t>
  </si>
  <si>
    <t xml:space="preserve"> 04 09</t>
  </si>
  <si>
    <t>10 4 01 20570</t>
  </si>
  <si>
    <t>Областной бюджет (ИТС)</t>
  </si>
  <si>
    <t>10 4 01 20360</t>
  </si>
  <si>
    <t>2.1.</t>
  </si>
  <si>
    <t>3.</t>
  </si>
  <si>
    <t>3.1.</t>
  </si>
  <si>
    <t>10 4 01 72140</t>
  </si>
  <si>
    <t>3.2.</t>
  </si>
  <si>
    <t>4.</t>
  </si>
  <si>
    <t xml:space="preserve">Оремонтировано мостов регионального значения </t>
  </si>
  <si>
    <t>4.1.</t>
  </si>
  <si>
    <t>5.</t>
  </si>
  <si>
    <t xml:space="preserve">Оремонтировано мостов местного значения </t>
  </si>
  <si>
    <t>5.1.</t>
  </si>
  <si>
    <t>5.2.</t>
  </si>
  <si>
    <t>6.</t>
  </si>
  <si>
    <t xml:space="preserve">Капитально отремонтировано автодорог регионального значения </t>
  </si>
  <si>
    <t>6.1.</t>
  </si>
  <si>
    <t>10 4 01 20580</t>
  </si>
  <si>
    <t>7.</t>
  </si>
  <si>
    <t>Капитально отремонтировано сетей наружного освещения вдоль автодорог</t>
  </si>
  <si>
    <t>7.1.</t>
  </si>
  <si>
    <t>8.</t>
  </si>
  <si>
    <t>8.1.</t>
  </si>
  <si>
    <t>9.</t>
  </si>
  <si>
    <t>Изготовлена проектно- сметная документация</t>
  </si>
  <si>
    <t>9.1.</t>
  </si>
  <si>
    <t xml:space="preserve">            Наименование мероприятия (результата) / источник               финансового обеспечения</t>
  </si>
  <si>
    <t>Объем финансового обеспечения по годам, тыс. рублей</t>
  </si>
  <si>
    <t>2024 год</t>
  </si>
  <si>
    <t>Всего по комплексу процессных мероприятий «Обеспечение сохранности существующей сети автомобильных дорог и безопасности дорожного движения»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</si>
  <si>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</si>
  <si>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</si>
  <si>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</si>
  <si>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</si>
  <si>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</si>
  <si>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</si>
  <si>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Внебюджетные источники</t>
  </si>
  <si>
    <t>КЖЦ</t>
  </si>
  <si>
    <t>10 4 01 9Д060</t>
  </si>
  <si>
    <t>10 4 01 9Д070</t>
  </si>
  <si>
    <t>10 4 01 9Д410</t>
  </si>
  <si>
    <t>10 4 01 9Д080</t>
  </si>
  <si>
    <t>10 4 01 9Д090</t>
  </si>
  <si>
    <t>10 4 01 9Д100</t>
  </si>
  <si>
    <t>10 4 01 9Д110</t>
  </si>
  <si>
    <t>10 4 01 9Д120</t>
  </si>
  <si>
    <t>10 4 01 9Д130</t>
  </si>
  <si>
    <t>Нераспределенный резерв (региональный бюджет)</t>
  </si>
  <si>
    <t>Ответственный                              за достижение показателя</t>
  </si>
  <si>
    <t xml:space="preserve">2024 год </t>
  </si>
  <si>
    <t>Министерство                     автомобильных дорог              и транспорта Белгородской области</t>
  </si>
  <si>
    <t>На конец 2025 года</t>
  </si>
  <si>
    <t>3. Помесячный план достижения показателей комплекса процессных мероприятий 1 в 2025 году</t>
  </si>
  <si>
    <t>Количество искусственных соору3жений регионального значения, подлежащих ремонту</t>
  </si>
  <si>
    <t xml:space="preserve">Отремонтировано искусственных сооружений регионального значения </t>
  </si>
  <si>
    <t>Выполнены работы по ремонту искусственных сооружений регионального значения</t>
  </si>
  <si>
    <t>Произведены дорожные работы по  восстановлению транспортно-эксплуатационных характеристик автодорог регионального значения.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</si>
  <si>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           в результате капитального ремонта и ремонта автомобильных дорог</t>
  </si>
  <si>
    <t xml:space="preserve">Оремонтировано искусственных сооружений регионального значения </t>
  </si>
  <si>
    <t>Отремонтировано автодорог и искусственных сооружений местного значения</t>
  </si>
  <si>
    <t>10 4 01 9Д180</t>
  </si>
  <si>
    <t>Капитально отремонтировано искусственных сооружений регионального значения</t>
  </si>
  <si>
    <t>скрыть</t>
  </si>
  <si>
    <t xml:space="preserve">XI. Паспорт комплекса процессных мероприятий «Обеспечение сохранности существующей сети автомобильных дорог и безопасности дорожного движения» </t>
  </si>
  <si>
    <t>Бюджеты муниципальных образований</t>
  </si>
  <si>
    <t>4. Показатели комплекса процессных мероприятий 1 по муниципальным образованиям                                                                            Белгородской области</t>
  </si>
  <si>
    <t>значе-ние</t>
  </si>
  <si>
    <t>Отремонтировано автодорог местного значения                                   и искусственных сооружений                              на них</t>
  </si>
  <si>
    <t>Выполнены работы                            по содержанию автодорог                                  и мостов регионального значения и мероприятия, направленные                                       на обеспечение безопасности дорожного движения</t>
  </si>
  <si>
    <t>Выполнены работы по капитальному ремонту искусственных сооружений регионального значения.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</si>
  <si>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Пог. м</t>
  </si>
  <si>
    <t>содерж</t>
  </si>
  <si>
    <t>штрафы</t>
  </si>
  <si>
    <t>безоп. Паша</t>
  </si>
  <si>
    <t>рем обычн</t>
  </si>
  <si>
    <t>рем мун</t>
  </si>
  <si>
    <t>рем мост рег</t>
  </si>
  <si>
    <t>к/рем рег</t>
  </si>
  <si>
    <t>к/рем осв</t>
  </si>
  <si>
    <t>к/рем мост рег</t>
  </si>
  <si>
    <t>пир</t>
  </si>
  <si>
    <t>БИФ об</t>
  </si>
  <si>
    <t>итс об</t>
  </si>
  <si>
    <t xml:space="preserve">Белгородский муниципальный округ                    </t>
  </si>
  <si>
    <t xml:space="preserve">Борисовский муниципальный округ                    </t>
  </si>
  <si>
    <t xml:space="preserve">Вейделевский муниципальный округ                    </t>
  </si>
  <si>
    <t xml:space="preserve">Волоконовский муниципальный округ                    </t>
  </si>
  <si>
    <t xml:space="preserve">Ивнянский муниципальный округ                    </t>
  </si>
  <si>
    <t xml:space="preserve">Корочанский муниципальный округ                    </t>
  </si>
  <si>
    <t xml:space="preserve">Красненский муниципальный округ                    </t>
  </si>
  <si>
    <t xml:space="preserve">Красногвардейский муниципальный округ                    </t>
  </si>
  <si>
    <t xml:space="preserve">Краснояружский муниципальный округ                                      </t>
  </si>
  <si>
    <t xml:space="preserve">Прохоровский муниципальный округ                                           </t>
  </si>
  <si>
    <t xml:space="preserve">Ракитянский муниципальный округ                                              </t>
  </si>
  <si>
    <t xml:space="preserve">Чернянский муниципальный округ                                              </t>
  </si>
  <si>
    <t xml:space="preserve">Ровеньский муниципальный округ                    </t>
  </si>
  <si>
    <t xml:space="preserve">Выполнены работы по капитальному ремонту и ремонту автодорог местного значения и искусственных сооружений на них.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9 к государственной программе.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городских и муниципальных округов Белгородской области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к государственной программе
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</si>
</sst>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#,##0.0"/>
    <numFmt numFmtId="166" formatCode="0.0"/>
    <numFmt numFmtId="167" formatCode="0.000"/>
    <numFmt numFmtId="168" formatCode="#,##0.000"/>
  </numFmts>
  <fonts count="26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4">
    <xf numFmtId="0" fontId="0" fillId="0" borderId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7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8" fillId="0" borderId="0"/>
    <xf numFmtId="164" fontId="24" fillId="0" borderId="0" applyBorder="0" applyProtection="0"/>
    <xf numFmtId="0" fontId="24" fillId="0" borderId="0" applyBorder="0" applyProtection="0"/>
    <xf numFmtId="0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0" fontId="1" fillId="0" borderId="0"/>
  </cellStyleXfs>
  <cellXfs count="171">
    <xf numFmtId="0" fontId="0" fillId="0" borderId="0" xfId="0"/>
    <xf numFmtId="0" fontId="9" fillId="0" borderId="0" xfId="0" applyFont="1" applyAlignment="1" applyProtection="1">
      <alignment vertical="top" wrapText="1"/>
    </xf>
    <xf numFmtId="0" fontId="10" fillId="0" borderId="0" xfId="1" applyFont="1" applyBorder="1" applyAlignment="1" applyProtection="1">
      <alignment vertical="top"/>
    </xf>
    <xf numFmtId="0" fontId="11" fillId="0" borderId="0" xfId="1" applyFont="1" applyBorder="1" applyAlignment="1" applyProtection="1">
      <alignment horizontal="left" vertical="top" wrapText="1"/>
    </xf>
    <xf numFmtId="0" fontId="12" fillId="0" borderId="0" xfId="0" applyFont="1" applyAlignment="1" applyProtection="1">
      <alignment horizontal="center" vertical="top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vertical="top"/>
    </xf>
    <xf numFmtId="0" fontId="15" fillId="0" borderId="1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7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left" vertical="top" wrapText="1"/>
    </xf>
    <xf numFmtId="0" fontId="9" fillId="0" borderId="2" xfId="0" applyFont="1" applyBorder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 vertical="top" wrapText="1"/>
    </xf>
    <xf numFmtId="165" fontId="9" fillId="0" borderId="2" xfId="0" applyNumberFormat="1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vertical="top"/>
    </xf>
    <xf numFmtId="166" fontId="9" fillId="0" borderId="2" xfId="0" applyNumberFormat="1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vertical="top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vertical="center"/>
    </xf>
    <xf numFmtId="0" fontId="9" fillId="0" borderId="2" xfId="0" applyFont="1" applyBorder="1" applyAlignment="1" applyProtection="1">
      <alignment horizontal="center" vertical="center"/>
    </xf>
    <xf numFmtId="166" fontId="11" fillId="0" borderId="3" xfId="0" applyNumberFormat="1" applyFont="1" applyBorder="1" applyAlignment="1" applyProtection="1">
      <alignment horizontal="center" vertical="top"/>
    </xf>
    <xf numFmtId="0" fontId="12" fillId="0" borderId="2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 vertical="top"/>
    </xf>
    <xf numFmtId="0" fontId="9" fillId="0" borderId="0" xfId="0" applyFont="1" applyAlignment="1" applyProtection="1"/>
    <xf numFmtId="0" fontId="19" fillId="0" borderId="0" xfId="0" applyFont="1" applyAlignment="1" applyProtection="1">
      <alignment vertical="top"/>
    </xf>
    <xf numFmtId="0" fontId="9" fillId="0" borderId="0" xfId="0" applyFont="1" applyAlignment="1" applyProtection="1">
      <alignment vertical="top"/>
    </xf>
    <xf numFmtId="0" fontId="19" fillId="0" borderId="0" xfId="0" applyFont="1" applyBorder="1" applyAlignment="1" applyProtection="1">
      <alignment vertical="top"/>
    </xf>
    <xf numFmtId="0" fontId="15" fillId="0" borderId="1" xfId="0" applyFont="1" applyBorder="1" applyAlignment="1" applyProtection="1">
      <alignment horizontal="center" vertical="top"/>
    </xf>
    <xf numFmtId="0" fontId="16" fillId="2" borderId="2" xfId="0" applyFont="1" applyFill="1" applyBorder="1" applyAlignment="1" applyProtection="1">
      <alignment horizontal="center" vertical="center" wrapText="1"/>
    </xf>
    <xf numFmtId="0" fontId="18" fillId="2" borderId="2" xfId="0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top" wrapText="1"/>
    </xf>
    <xf numFmtId="0" fontId="19" fillId="0" borderId="0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7" fillId="2" borderId="2" xfId="0" applyFont="1" applyFill="1" applyBorder="1" applyAlignment="1" applyProtection="1">
      <alignment horizontal="center" vertical="top" wrapText="1"/>
    </xf>
    <xf numFmtId="0" fontId="9" fillId="2" borderId="2" xfId="0" applyFont="1" applyFill="1" applyBorder="1" applyAlignment="1" applyProtection="1">
      <alignment horizontal="center" vertical="top" wrapText="1"/>
    </xf>
    <xf numFmtId="166" fontId="12" fillId="0" borderId="2" xfId="0" applyNumberFormat="1" applyFont="1" applyBorder="1" applyAlignment="1" applyProtection="1">
      <alignment horizontal="center" vertical="top" wrapText="1"/>
    </xf>
    <xf numFmtId="166" fontId="12" fillId="2" borderId="2" xfId="0" applyNumberFormat="1" applyFont="1" applyFill="1" applyBorder="1" applyAlignment="1" applyProtection="1">
      <alignment horizontal="center" vertical="top" wrapText="1"/>
    </xf>
    <xf numFmtId="0" fontId="19" fillId="0" borderId="2" xfId="0" applyFont="1" applyBorder="1" applyAlignment="1" applyProtection="1">
      <alignment horizontal="center" vertical="top"/>
    </xf>
    <xf numFmtId="0" fontId="20" fillId="0" borderId="0" xfId="0" applyFont="1" applyBorder="1" applyAlignment="1" applyProtection="1">
      <alignment vertical="top"/>
    </xf>
    <xf numFmtId="0" fontId="15" fillId="0" borderId="1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left" vertical="top" wrapText="1"/>
    </xf>
    <xf numFmtId="0" fontId="11" fillId="0" borderId="2" xfId="0" applyFont="1" applyBorder="1" applyAlignment="1" applyProtection="1">
      <alignment vertical="center"/>
    </xf>
    <xf numFmtId="167" fontId="11" fillId="0" borderId="2" xfId="75" applyNumberFormat="1" applyFont="1" applyBorder="1" applyAlignment="1" applyProtection="1">
      <alignment horizontal="center" vertical="center" wrapText="1"/>
    </xf>
    <xf numFmtId="168" fontId="11" fillId="0" borderId="2" xfId="74" applyNumberFormat="1" applyFont="1" applyBorder="1" applyAlignment="1" applyProtection="1">
      <alignment horizontal="center" vertical="center" wrapText="1"/>
    </xf>
    <xf numFmtId="168" fontId="11" fillId="0" borderId="2" xfId="75" applyNumberFormat="1" applyFont="1" applyBorder="1" applyAlignment="1" applyProtection="1">
      <alignment horizontal="center" vertical="center"/>
    </xf>
    <xf numFmtId="3" fontId="18" fillId="0" borderId="2" xfId="75" applyNumberFormat="1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vertical="center" wrapText="1"/>
    </xf>
    <xf numFmtId="168" fontId="9" fillId="0" borderId="2" xfId="14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top" wrapText="1"/>
    </xf>
    <xf numFmtId="0" fontId="11" fillId="0" borderId="0" xfId="0" applyFont="1" applyBorder="1" applyAlignment="1" applyProtection="1">
      <alignment vertical="center" wrapText="1"/>
    </xf>
    <xf numFmtId="168" fontId="11" fillId="0" borderId="0" xfId="75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vertical="top" wrapText="1"/>
    </xf>
    <xf numFmtId="0" fontId="19" fillId="0" borderId="0" xfId="0" applyFont="1" applyAlignment="1" applyProtection="1"/>
    <xf numFmtId="0" fontId="12" fillId="0" borderId="0" xfId="0" applyFont="1" applyAlignment="1" applyProtection="1">
      <alignment horizontal="center" vertical="top"/>
    </xf>
    <xf numFmtId="0" fontId="15" fillId="0" borderId="1" xfId="0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/>
    </xf>
    <xf numFmtId="0" fontId="17" fillId="0" borderId="2" xfId="0" applyFont="1" applyBorder="1" applyAlignment="1" applyProtection="1">
      <alignment horizontal="center" vertical="center"/>
    </xf>
    <xf numFmtId="0" fontId="17" fillId="0" borderId="2" xfId="0" applyFont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vertical="center" wrapText="1"/>
    </xf>
    <xf numFmtId="166" fontId="9" fillId="0" borderId="2" xfId="0" applyNumberFormat="1" applyFont="1" applyBorder="1" applyAlignment="1" applyProtection="1">
      <alignment horizontal="center" vertical="center" wrapText="1"/>
    </xf>
    <xf numFmtId="166" fontId="19" fillId="0" borderId="0" xfId="0" applyNumberFormat="1" applyFont="1" applyAlignment="1" applyProtection="1"/>
    <xf numFmtId="0" fontId="12" fillId="0" borderId="2" xfId="0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/>
    <xf numFmtId="0" fontId="15" fillId="0" borderId="0" xfId="0" applyFont="1" applyBorder="1" applyAlignment="1" applyProtection="1">
      <alignment horizontal="center" vertical="top"/>
    </xf>
    <xf numFmtId="0" fontId="9" fillId="0" borderId="0" xfId="0" applyFont="1" applyBorder="1" applyAlignment="1" applyProtection="1"/>
    <xf numFmtId="0" fontId="21" fillId="0" borderId="0" xfId="0" applyFont="1" applyBorder="1" applyAlignment="1" applyProtection="1"/>
    <xf numFmtId="0" fontId="9" fillId="0" borderId="0" xfId="0" applyFont="1" applyBorder="1" applyAlignment="1" applyProtection="1">
      <alignment horizontal="right" vertical="center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vertical="center" wrapText="1"/>
    </xf>
    <xf numFmtId="165" fontId="9" fillId="0" borderId="3" xfId="0" applyNumberFormat="1" applyFont="1" applyBorder="1" applyAlignment="1" applyProtection="1">
      <alignment horizontal="center" vertical="center" wrapText="1"/>
    </xf>
    <xf numFmtId="165" fontId="19" fillId="0" borderId="0" xfId="0" applyNumberFormat="1" applyFont="1" applyAlignment="1" applyProtection="1"/>
    <xf numFmtId="0" fontId="11" fillId="0" borderId="4" xfId="0" applyFont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</xf>
    <xf numFmtId="165" fontId="11" fillId="0" borderId="3" xfId="0" applyNumberFormat="1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vertical="center" wrapText="1"/>
    </xf>
    <xf numFmtId="0" fontId="11" fillId="0" borderId="2" xfId="0" applyFont="1" applyBorder="1" applyAlignment="1" applyProtection="1">
      <alignment horizontal="center" vertical="center" wrapText="1"/>
    </xf>
    <xf numFmtId="16" fontId="9" fillId="0" borderId="2" xfId="0" applyNumberFormat="1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 wrapText="1"/>
    </xf>
    <xf numFmtId="165" fontId="11" fillId="0" borderId="0" xfId="0" applyNumberFormat="1" applyFont="1" applyBorder="1" applyAlignment="1" applyProtection="1">
      <alignment horizontal="center" vertical="center"/>
    </xf>
    <xf numFmtId="165" fontId="9" fillId="0" borderId="0" xfId="0" applyNumberFormat="1" applyFont="1" applyBorder="1" applyAlignment="1" applyProtection="1">
      <alignment horizontal="center" vertical="center" wrapText="1"/>
    </xf>
    <xf numFmtId="165" fontId="9" fillId="0" borderId="6" xfId="0" applyNumberFormat="1" applyFont="1" applyBorder="1" applyAlignment="1" applyProtection="1">
      <alignment horizontal="center" vertical="center" wrapText="1"/>
    </xf>
    <xf numFmtId="0" fontId="9" fillId="0" borderId="2" xfId="43" applyFont="1" applyBorder="1" applyAlignment="1" applyProtection="1">
      <alignment vertical="center" wrapText="1"/>
    </xf>
    <xf numFmtId="165" fontId="18" fillId="3" borderId="3" xfId="75" applyNumberFormat="1" applyFont="1" applyFill="1" applyBorder="1" applyAlignment="1" applyProtection="1">
      <alignment horizontal="center" vertical="center"/>
    </xf>
    <xf numFmtId="0" fontId="23" fillId="0" borderId="0" xfId="0" applyFont="1" applyAlignment="1" applyProtection="1"/>
    <xf numFmtId="0" fontId="11" fillId="0" borderId="2" xfId="27" applyFont="1" applyBorder="1" applyAlignment="1" applyProtection="1">
      <alignment horizontal="center" vertical="center" wrapText="1"/>
    </xf>
    <xf numFmtId="0" fontId="19" fillId="0" borderId="2" xfId="0" applyFont="1" applyBorder="1" applyAlignment="1" applyProtection="1"/>
    <xf numFmtId="165" fontId="11" fillId="0" borderId="2" xfId="27" applyNumberFormat="1" applyFont="1" applyBorder="1" applyAlignment="1" applyProtection="1">
      <alignment horizontal="center" vertical="center"/>
    </xf>
    <xf numFmtId="165" fontId="9" fillId="0" borderId="2" xfId="27" applyNumberFormat="1" applyFont="1" applyBorder="1" applyAlignment="1" applyProtection="1">
      <alignment horizontal="center" vertical="center" wrapText="1"/>
    </xf>
    <xf numFmtId="0" fontId="15" fillId="0" borderId="2" xfId="43" applyFont="1" applyBorder="1" applyAlignment="1" applyProtection="1">
      <alignment vertical="center" wrapText="1"/>
    </xf>
    <xf numFmtId="0" fontId="11" fillId="0" borderId="2" xfId="0" applyFont="1" applyBorder="1" applyAlignment="1" applyProtection="1">
      <alignment horizontal="left" vertical="top" wrapText="1"/>
    </xf>
    <xf numFmtId="0" fontId="25" fillId="0" borderId="0" xfId="0" applyFont="1" applyBorder="1" applyAlignment="1" applyProtection="1">
      <alignment horizontal="center" vertical="center" wrapText="1"/>
    </xf>
    <xf numFmtId="167" fontId="9" fillId="0" borderId="2" xfId="0" applyNumberFormat="1" applyFont="1" applyBorder="1" applyAlignment="1" applyProtection="1">
      <alignment horizontal="center" vertical="center" wrapText="1"/>
    </xf>
    <xf numFmtId="167" fontId="9" fillId="0" borderId="2" xfId="0" applyNumberFormat="1" applyFont="1" applyFill="1" applyBorder="1" applyAlignment="1" applyProtection="1">
      <alignment horizontal="center" vertical="top" wrapText="1"/>
    </xf>
    <xf numFmtId="165" fontId="11" fillId="0" borderId="2" xfId="0" applyNumberFormat="1" applyFont="1" applyFill="1" applyBorder="1" applyAlignment="1" applyProtection="1">
      <alignment horizontal="center" vertical="center"/>
    </xf>
    <xf numFmtId="165" fontId="11" fillId="0" borderId="2" xfId="27" applyNumberFormat="1" applyFont="1" applyFill="1" applyBorder="1" applyAlignment="1" applyProtection="1">
      <alignment horizontal="center" vertical="center"/>
    </xf>
    <xf numFmtId="0" fontId="9" fillId="4" borderId="2" xfId="0" applyFont="1" applyFill="1" applyBorder="1" applyAlignment="1" applyProtection="1">
      <alignment horizontal="center" vertical="center" wrapText="1"/>
    </xf>
    <xf numFmtId="0" fontId="9" fillId="4" borderId="2" xfId="0" applyFont="1" applyFill="1" applyBorder="1" applyAlignment="1" applyProtection="1">
      <alignment horizontal="center" vertical="center"/>
    </xf>
    <xf numFmtId="166" fontId="23" fillId="0" borderId="0" xfId="0" applyNumberFormat="1" applyFont="1" applyAlignment="1" applyProtection="1"/>
    <xf numFmtId="165" fontId="9" fillId="0" borderId="2" xfId="0" applyNumberFormat="1" applyFont="1" applyFill="1" applyBorder="1" applyAlignment="1" applyProtection="1">
      <alignment horizontal="center" vertical="top" wrapText="1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0" fontId="9" fillId="5" borderId="2" xfId="43" applyFont="1" applyFill="1" applyBorder="1" applyAlignment="1" applyProtection="1">
      <alignment vertical="center" wrapText="1"/>
    </xf>
    <xf numFmtId="0" fontId="9" fillId="5" borderId="2" xfId="0" applyFont="1" applyFill="1" applyBorder="1" applyAlignment="1" applyProtection="1">
      <alignment vertical="center" wrapText="1"/>
    </xf>
    <xf numFmtId="165" fontId="11" fillId="5" borderId="2" xfId="27" applyNumberFormat="1" applyFont="1" applyFill="1" applyBorder="1" applyAlignment="1" applyProtection="1">
      <alignment horizontal="center" vertical="center"/>
    </xf>
    <xf numFmtId="165" fontId="9" fillId="5" borderId="2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left" vertical="center" wrapText="1"/>
    </xf>
    <xf numFmtId="165" fontId="11" fillId="0" borderId="2" xfId="75" applyNumberFormat="1" applyFont="1" applyBorder="1" applyAlignment="1" applyProtection="1">
      <alignment horizontal="center" vertical="center"/>
    </xf>
    <xf numFmtId="165" fontId="11" fillId="0" borderId="2" xfId="75" applyNumberFormat="1" applyFont="1" applyFill="1" applyBorder="1" applyAlignment="1" applyProtection="1">
      <alignment horizontal="center" vertical="center"/>
    </xf>
    <xf numFmtId="165" fontId="11" fillId="5" borderId="2" xfId="0" applyNumberFormat="1" applyFont="1" applyFill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left" vertical="center" wrapText="1"/>
    </xf>
    <xf numFmtId="0" fontId="11" fillId="0" borderId="2" xfId="27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165" fontId="9" fillId="0" borderId="2" xfId="27" applyNumberFormat="1" applyFont="1" applyFill="1" applyBorder="1" applyAlignment="1" applyProtection="1">
      <alignment horizontal="center" vertical="center" wrapText="1"/>
    </xf>
    <xf numFmtId="165" fontId="9" fillId="0" borderId="3" xfId="27" applyNumberFormat="1" applyFont="1" applyFill="1" applyBorder="1" applyAlignment="1" applyProtection="1">
      <alignment horizontal="center" vertical="center" wrapText="1"/>
    </xf>
    <xf numFmtId="165" fontId="11" fillId="0" borderId="3" xfId="27" applyNumberFormat="1" applyFont="1" applyFill="1" applyBorder="1" applyAlignment="1" applyProtection="1">
      <alignment horizontal="center" vertical="center"/>
    </xf>
    <xf numFmtId="165" fontId="11" fillId="5" borderId="3" xfId="27" applyNumberFormat="1" applyFont="1" applyFill="1" applyBorder="1" applyAlignment="1" applyProtection="1">
      <alignment horizontal="center" vertical="center"/>
    </xf>
    <xf numFmtId="165" fontId="11" fillId="0" borderId="3" xfId="27" applyNumberFormat="1" applyFont="1" applyBorder="1" applyAlignment="1" applyProtection="1">
      <alignment horizontal="center" vertical="center"/>
    </xf>
    <xf numFmtId="165" fontId="9" fillId="0" borderId="3" xfId="27" applyNumberFormat="1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18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7" fillId="2" borderId="2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center" vertical="top"/>
    </xf>
    <xf numFmtId="0" fontId="15" fillId="2" borderId="2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25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center" vertical="top" wrapText="1"/>
    </xf>
    <xf numFmtId="0" fontId="17" fillId="0" borderId="2" xfId="0" applyFont="1" applyBorder="1" applyAlignment="1" applyProtection="1">
      <alignment horizontal="left" vertical="center" wrapText="1"/>
    </xf>
    <xf numFmtId="0" fontId="17" fillId="0" borderId="3" xfId="0" applyFont="1" applyFill="1" applyBorder="1" applyAlignment="1" applyProtection="1">
      <alignment horizontal="left" vertical="center" wrapText="1"/>
    </xf>
    <xf numFmtId="0" fontId="17" fillId="0" borderId="8" xfId="0" applyFont="1" applyFill="1" applyBorder="1" applyAlignment="1" applyProtection="1">
      <alignment horizontal="left" vertical="center" wrapText="1"/>
    </xf>
    <xf numFmtId="0" fontId="17" fillId="0" borderId="9" xfId="0" applyFont="1" applyFill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17" fillId="0" borderId="4" xfId="0" applyFont="1" applyBorder="1" applyAlignment="1" applyProtection="1">
      <alignment horizontal="center" vertical="center" wrapText="1"/>
    </xf>
    <xf numFmtId="0" fontId="17" fillId="0" borderId="7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left" vertical="center" wrapText="1"/>
    </xf>
    <xf numFmtId="0" fontId="15" fillId="0" borderId="2" xfId="43" applyFont="1" applyBorder="1" applyAlignment="1" applyProtection="1">
      <alignment horizontal="left" vertical="center" wrapText="1"/>
    </xf>
    <xf numFmtId="0" fontId="9" fillId="0" borderId="2" xfId="43" applyFont="1" applyBorder="1" applyAlignment="1" applyProtection="1">
      <alignment horizontal="left" vertical="center" wrapText="1"/>
    </xf>
    <xf numFmtId="0" fontId="15" fillId="0" borderId="2" xfId="0" applyFont="1" applyBorder="1" applyAlignment="1" applyProtection="1">
      <alignment horizontal="center" vertical="top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left" vertical="center" wrapText="1"/>
    </xf>
    <xf numFmtId="0" fontId="15" fillId="0" borderId="2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top" wrapText="1"/>
    </xf>
    <xf numFmtId="0" fontId="17" fillId="0" borderId="4" xfId="0" applyFont="1" applyBorder="1" applyAlignment="1" applyProtection="1">
      <alignment horizontal="left" vertical="center" wrapText="1"/>
    </xf>
  </cellXfs>
  <cellStyles count="84">
    <cellStyle name="Гиперссылка" xfId="1" builtinId="8"/>
    <cellStyle name="Гиперссылка 2" xfId="2"/>
    <cellStyle name="Гиперссылка 2 2" xfId="3"/>
    <cellStyle name="Обычный" xfId="0" builtinId="0"/>
    <cellStyle name="Обычный 10" xfId="4"/>
    <cellStyle name="Обычный 10 2" xfId="5"/>
    <cellStyle name="Обычный 11" xfId="6"/>
    <cellStyle name="Обычный 11 2" xfId="7"/>
    <cellStyle name="Обычный 12" xfId="8"/>
    <cellStyle name="Обычный 12 2" xfId="9"/>
    <cellStyle name="Обычный 13" xfId="10"/>
    <cellStyle name="Обычный 13 2" xfId="11"/>
    <cellStyle name="Обычный 14" xfId="12"/>
    <cellStyle name="Обычный 14 2" xfId="13"/>
    <cellStyle name="Обычный 15" xfId="14"/>
    <cellStyle name="Обычный 15 2" xfId="15"/>
    <cellStyle name="Обычный 16" xfId="16"/>
    <cellStyle name="Обычный 16 2" xfId="17"/>
    <cellStyle name="Обычный 16 3" xfId="18"/>
    <cellStyle name="Обычный 17" xfId="19"/>
    <cellStyle name="Обычный 17 2" xfId="20"/>
    <cellStyle name="Обычный 17 3" xfId="21"/>
    <cellStyle name="Обычный 18" xfId="22"/>
    <cellStyle name="Обычный 18 2" xfId="23"/>
    <cellStyle name="Обычный 18 3" xfId="24"/>
    <cellStyle name="Обычный 19" xfId="25"/>
    <cellStyle name="Обычный 2" xfId="26"/>
    <cellStyle name="Обычный 2 2" xfId="27"/>
    <cellStyle name="Обычный 2 2 2" xfId="28"/>
    <cellStyle name="Обычный 2 2 3" xfId="29"/>
    <cellStyle name="Обычный 2 3" xfId="30"/>
    <cellStyle name="Обычный 2 3 2" xfId="31"/>
    <cellStyle name="Обычный 2 3 3" xfId="32"/>
    <cellStyle name="Обычный 2 4" xfId="33"/>
    <cellStyle name="Обычный 2 4 2" xfId="34"/>
    <cellStyle name="Обычный 2 5" xfId="35"/>
    <cellStyle name="Обычный 2 5 2" xfId="36"/>
    <cellStyle name="Обычный 2 6" xfId="37"/>
    <cellStyle name="Обычный 2 6 2" xfId="38"/>
    <cellStyle name="Обычный 2 6 3" xfId="39"/>
    <cellStyle name="Обычный 2 7" xfId="40"/>
    <cellStyle name="Обычный 2 7 2" xfId="41"/>
    <cellStyle name="Обычный 2 7 3" xfId="42"/>
    <cellStyle name="Обычный 2 8" xfId="43"/>
    <cellStyle name="Обычный 2 9" xfId="44"/>
    <cellStyle name="Обычный 20" xfId="45"/>
    <cellStyle name="Обычный 21" xfId="83"/>
    <cellStyle name="Обычный 3" xfId="46"/>
    <cellStyle name="Обычный 3 2" xfId="47"/>
    <cellStyle name="Обычный 3 2 2" xfId="48"/>
    <cellStyle name="Обычный 3 3" xfId="49"/>
    <cellStyle name="Обычный 4" xfId="50"/>
    <cellStyle name="Обычный 4 2" xfId="51"/>
    <cellStyle name="Обычный 4 2 2" xfId="52"/>
    <cellStyle name="Обычный 4 2 2 2" xfId="53"/>
    <cellStyle name="Обычный 4 2 2 2 2" xfId="54"/>
    <cellStyle name="Обычный 4 2 2 2 3" xfId="55"/>
    <cellStyle name="Обычный 4 2 2 3" xfId="56"/>
    <cellStyle name="Обычный 4 2 2 4" xfId="57"/>
    <cellStyle name="Обычный 4 2 3" xfId="58"/>
    <cellStyle name="Обычный 4 2 4" xfId="59"/>
    <cellStyle name="Обычный 4 3" xfId="60"/>
    <cellStyle name="Обычный 4 4" xfId="61"/>
    <cellStyle name="Обычный 5" xfId="62"/>
    <cellStyle name="Обычный 5 2" xfId="63"/>
    <cellStyle name="Обычный 6" xfId="64"/>
    <cellStyle name="Обычный 6 2" xfId="65"/>
    <cellStyle name="Обычный 7" xfId="66"/>
    <cellStyle name="Обычный 7 2" xfId="67"/>
    <cellStyle name="Обычный 8" xfId="68"/>
    <cellStyle name="Обычный 8 2" xfId="69"/>
    <cellStyle name="Обычный 9" xfId="70"/>
    <cellStyle name="Обычный 9 2" xfId="71"/>
    <cellStyle name="Обычный 9 2 2" xfId="72"/>
    <cellStyle name="Обычный 9 3" xfId="73"/>
    <cellStyle name="Обычный_3-РЕМОНТ_МОСТОВ на 2011год" xfId="74"/>
    <cellStyle name="Стиль 1" xfId="75"/>
    <cellStyle name="Финансовый 2" xfId="76"/>
    <cellStyle name="Финансовый 2 2" xfId="77"/>
    <cellStyle name="Финансовый 2 2 2" xfId="78"/>
    <cellStyle name="Финансовый 2 3" xfId="79"/>
    <cellStyle name="Финансовый 2 4" xfId="80"/>
    <cellStyle name="Финансовый 3" xfId="81"/>
    <cellStyle name="Финансовый 3 2" xfId="8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Z34"/>
  <sheetViews>
    <sheetView view="pageBreakPreview" zoomScale="80" zoomScaleNormal="84" zoomScalePageLayoutView="80" workbookViewId="0">
      <selection activeCell="F33" sqref="F33"/>
    </sheetView>
  </sheetViews>
  <sheetFormatPr defaultColWidth="9.140625" defaultRowHeight="15.75"/>
  <cols>
    <col min="1" max="1" width="4.42578125" style="1" customWidth="1"/>
    <col min="2" max="2" width="37.42578125" style="1" customWidth="1"/>
    <col min="3" max="3" width="16.140625" style="1" customWidth="1"/>
    <col min="4" max="4" width="18" style="1" customWidth="1"/>
    <col min="5" max="5" width="12.42578125" style="1" customWidth="1"/>
    <col min="6" max="6" width="10.28515625" style="1" customWidth="1"/>
    <col min="7" max="7" width="7.28515625" style="1" customWidth="1"/>
    <col min="8" max="8" width="8.28515625" style="1" customWidth="1"/>
    <col min="9" max="9" width="7.5703125" style="1" customWidth="1"/>
    <col min="10" max="10" width="7.7109375" style="1" customWidth="1"/>
    <col min="11" max="11" width="9.42578125" style="1" customWidth="1"/>
    <col min="12" max="12" width="7.85546875" style="1" customWidth="1"/>
    <col min="13" max="13" width="9.140625" style="1"/>
    <col min="14" max="14" width="8.42578125" style="1" customWidth="1"/>
    <col min="15" max="15" width="28.140625" style="1" customWidth="1"/>
    <col min="16" max="16" width="24" style="1" hidden="1" customWidth="1"/>
    <col min="17" max="17" width="20.140625" style="1" hidden="1" customWidth="1"/>
    <col min="18" max="16384" width="9.140625" style="1"/>
  </cols>
  <sheetData>
    <row r="1" spans="1:26">
      <c r="A1" s="2" t="str">
        <f>HYPERLINK("#Оглавление!A1","Назад в оглавление")</f>
        <v>Назад в оглавление</v>
      </c>
      <c r="B1" s="3"/>
      <c r="D1" s="4"/>
    </row>
    <row r="2" spans="1:26" ht="39.200000000000003" customHeight="1">
      <c r="A2" s="141" t="s">
        <v>212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 t="s">
        <v>0</v>
      </c>
      <c r="Q2" s="141"/>
    </row>
    <row r="3" spans="1:26" ht="19.5" customHeight="1">
      <c r="A3" s="142" t="s">
        <v>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5"/>
      <c r="Q3" s="6"/>
    </row>
    <row r="4" spans="1:26" ht="19.5" customHeight="1">
      <c r="A4" s="116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5"/>
      <c r="Q4" s="6"/>
    </row>
    <row r="5" spans="1:26" ht="28.5" customHeight="1">
      <c r="A5" s="143" t="s">
        <v>2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</row>
    <row r="6" spans="1:26" ht="28.5" customHeight="1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26" ht="40.5" customHeight="1">
      <c r="A7" s="144" t="s">
        <v>3</v>
      </c>
      <c r="B7" s="145" t="s">
        <v>4</v>
      </c>
      <c r="C7" s="145" t="s">
        <v>5</v>
      </c>
      <c r="D7" s="145" t="s">
        <v>6</v>
      </c>
      <c r="E7" s="145" t="s">
        <v>7</v>
      </c>
      <c r="F7" s="145" t="s">
        <v>8</v>
      </c>
      <c r="G7" s="145"/>
      <c r="H7" s="145" t="s">
        <v>9</v>
      </c>
      <c r="I7" s="145"/>
      <c r="J7" s="145"/>
      <c r="K7" s="145"/>
      <c r="L7" s="145"/>
      <c r="M7" s="145"/>
      <c r="N7" s="145"/>
      <c r="O7" s="145" t="s">
        <v>197</v>
      </c>
      <c r="P7" s="146" t="s">
        <v>10</v>
      </c>
      <c r="Q7" s="146" t="s">
        <v>11</v>
      </c>
    </row>
    <row r="8" spans="1:26" ht="41.25" customHeight="1">
      <c r="A8" s="144"/>
      <c r="B8" s="145"/>
      <c r="C8" s="145"/>
      <c r="D8" s="145"/>
      <c r="E8" s="145"/>
      <c r="F8" s="9" t="s">
        <v>12</v>
      </c>
      <c r="G8" s="9" t="s">
        <v>13</v>
      </c>
      <c r="H8" s="9">
        <v>2024</v>
      </c>
      <c r="I8" s="9">
        <v>2025</v>
      </c>
      <c r="J8" s="9">
        <v>2026</v>
      </c>
      <c r="K8" s="9">
        <v>2027</v>
      </c>
      <c r="L8" s="9">
        <v>2028</v>
      </c>
      <c r="M8" s="9">
        <v>2029</v>
      </c>
      <c r="N8" s="9">
        <v>2030</v>
      </c>
      <c r="O8" s="145"/>
      <c r="P8" s="146"/>
      <c r="Q8" s="146"/>
      <c r="U8" s="1" t="s">
        <v>14</v>
      </c>
    </row>
    <row r="9" spans="1:26" ht="33.75" customHeight="1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  <c r="O9" s="9">
        <v>15</v>
      </c>
      <c r="P9" s="10">
        <v>16</v>
      </c>
      <c r="Q9" s="10">
        <v>17</v>
      </c>
    </row>
    <row r="10" spans="1:26" ht="45" customHeight="1">
      <c r="A10" s="9" t="s">
        <v>15</v>
      </c>
      <c r="B10" s="138" t="s">
        <v>16</v>
      </c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1"/>
      <c r="Q10" s="12"/>
    </row>
    <row r="11" spans="1:26" ht="144.75" customHeight="1">
      <c r="A11" s="13" t="s">
        <v>17</v>
      </c>
      <c r="B11" s="12" t="s">
        <v>18</v>
      </c>
      <c r="C11" s="14" t="s">
        <v>19</v>
      </c>
      <c r="D11" s="14" t="s">
        <v>20</v>
      </c>
      <c r="E11" s="13" t="s">
        <v>21</v>
      </c>
      <c r="F11" s="15">
        <v>652.9</v>
      </c>
      <c r="G11" s="13">
        <v>2022</v>
      </c>
      <c r="H11" s="15">
        <f>H13+H14</f>
        <v>162.97200000000001</v>
      </c>
      <c r="I11" s="106">
        <f t="shared" ref="I11:N11" si="0">I13+I14+I17</f>
        <v>159.69200000000001</v>
      </c>
      <c r="J11" s="15">
        <f t="shared" si="0"/>
        <v>125.3</v>
      </c>
      <c r="K11" s="15">
        <f t="shared" si="0"/>
        <v>48.3</v>
      </c>
      <c r="L11" s="15">
        <f t="shared" si="0"/>
        <v>53</v>
      </c>
      <c r="M11" s="15">
        <f t="shared" si="0"/>
        <v>58</v>
      </c>
      <c r="N11" s="15">
        <f t="shared" si="0"/>
        <v>63</v>
      </c>
      <c r="O11" s="14" t="s">
        <v>199</v>
      </c>
      <c r="P11" s="11" t="s">
        <v>22</v>
      </c>
      <c r="Q11" s="16"/>
      <c r="Z11" s="1" t="s">
        <v>14</v>
      </c>
    </row>
    <row r="12" spans="1:26" ht="45" hidden="1" customHeight="1">
      <c r="A12" s="13" t="s">
        <v>17</v>
      </c>
      <c r="B12" s="12" t="s">
        <v>23</v>
      </c>
      <c r="C12" s="14" t="s">
        <v>19</v>
      </c>
      <c r="D12" s="13" t="s">
        <v>24</v>
      </c>
      <c r="E12" s="13" t="s">
        <v>25</v>
      </c>
      <c r="F12" s="15">
        <v>6339.9</v>
      </c>
      <c r="G12" s="13">
        <v>2022</v>
      </c>
      <c r="H12" s="15">
        <v>6359</v>
      </c>
      <c r="I12" s="106">
        <v>6357.3</v>
      </c>
      <c r="J12" s="106">
        <v>6357.3</v>
      </c>
      <c r="K12" s="106">
        <v>6357.3</v>
      </c>
      <c r="L12" s="106">
        <v>6357.3</v>
      </c>
      <c r="M12" s="106">
        <v>6357.3</v>
      </c>
      <c r="N12" s="106">
        <v>6357.3</v>
      </c>
      <c r="O12" s="139" t="s">
        <v>26</v>
      </c>
      <c r="P12" s="11"/>
      <c r="Q12" s="16"/>
    </row>
    <row r="13" spans="1:26" ht="53.25" hidden="1" customHeight="1">
      <c r="A13" s="14" t="s">
        <v>27</v>
      </c>
      <c r="B13" s="12" t="s">
        <v>28</v>
      </c>
      <c r="C13" s="14" t="s">
        <v>19</v>
      </c>
      <c r="D13" s="13" t="s">
        <v>24</v>
      </c>
      <c r="E13" s="14" t="s">
        <v>25</v>
      </c>
      <c r="F13" s="17">
        <v>88</v>
      </c>
      <c r="G13" s="13">
        <v>2022</v>
      </c>
      <c r="H13" s="17">
        <f>57.7-1.6</f>
        <v>56.1</v>
      </c>
      <c r="I13" s="63">
        <v>58.9</v>
      </c>
      <c r="J13" s="63">
        <v>24.5</v>
      </c>
      <c r="K13" s="63">
        <v>45</v>
      </c>
      <c r="L13" s="63">
        <v>50</v>
      </c>
      <c r="M13" s="63">
        <v>55</v>
      </c>
      <c r="N13" s="63">
        <v>60</v>
      </c>
      <c r="O13" s="139"/>
      <c r="P13" s="11"/>
      <c r="Q13" s="18"/>
    </row>
    <row r="14" spans="1:26" ht="68.25" hidden="1" customHeight="1">
      <c r="A14" s="14" t="s">
        <v>29</v>
      </c>
      <c r="B14" s="12" t="s">
        <v>30</v>
      </c>
      <c r="C14" s="14" t="s">
        <v>19</v>
      </c>
      <c r="D14" s="13" t="s">
        <v>24</v>
      </c>
      <c r="E14" s="14" t="s">
        <v>25</v>
      </c>
      <c r="F14" s="14">
        <v>285.8</v>
      </c>
      <c r="G14" s="13">
        <v>2022</v>
      </c>
      <c r="H14" s="100">
        <f>107.965-1.093</f>
        <v>106.872</v>
      </c>
      <c r="I14" s="107">
        <v>99.292000000000016</v>
      </c>
      <c r="J14" s="107">
        <v>98.5</v>
      </c>
      <c r="K14" s="127"/>
      <c r="L14" s="127"/>
      <c r="M14" s="127"/>
      <c r="N14" s="127"/>
      <c r="O14" s="11" t="s">
        <v>31</v>
      </c>
      <c r="P14" s="19"/>
      <c r="Q14" s="18"/>
    </row>
    <row r="15" spans="1:26" ht="41.25" hidden="1" customHeight="1">
      <c r="A15" s="14" t="s">
        <v>32</v>
      </c>
      <c r="B15" s="97" t="s">
        <v>202</v>
      </c>
      <c r="C15" s="14" t="s">
        <v>19</v>
      </c>
      <c r="D15" s="13" t="s">
        <v>24</v>
      </c>
      <c r="E15" s="14" t="s">
        <v>34</v>
      </c>
      <c r="F15" s="14">
        <v>9</v>
      </c>
      <c r="G15" s="13">
        <v>2022</v>
      </c>
      <c r="H15" s="14" t="s">
        <v>35</v>
      </c>
      <c r="I15" s="65" t="s">
        <v>35</v>
      </c>
      <c r="J15" s="127">
        <v>6</v>
      </c>
      <c r="K15" s="127">
        <v>3</v>
      </c>
      <c r="L15" s="127">
        <v>7</v>
      </c>
      <c r="M15" s="127">
        <v>1</v>
      </c>
      <c r="N15" s="127">
        <v>1</v>
      </c>
      <c r="O15" s="20" t="s">
        <v>36</v>
      </c>
      <c r="P15" s="20"/>
      <c r="Q15" s="18"/>
    </row>
    <row r="16" spans="1:26" ht="75" hidden="1" customHeight="1">
      <c r="A16" s="14" t="s">
        <v>37</v>
      </c>
      <c r="B16" s="12" t="s">
        <v>38</v>
      </c>
      <c r="C16" s="14" t="s">
        <v>19</v>
      </c>
      <c r="D16" s="13" t="s">
        <v>24</v>
      </c>
      <c r="E16" s="14" t="s">
        <v>34</v>
      </c>
      <c r="F16" s="14">
        <v>2</v>
      </c>
      <c r="G16" s="13">
        <v>2022</v>
      </c>
      <c r="H16" s="14">
        <v>1</v>
      </c>
      <c r="I16" s="14">
        <v>1</v>
      </c>
      <c r="J16" s="14">
        <v>1</v>
      </c>
      <c r="K16" s="14" t="s">
        <v>35</v>
      </c>
      <c r="L16" s="14" t="s">
        <v>35</v>
      </c>
      <c r="M16" s="14" t="s">
        <v>35</v>
      </c>
      <c r="N16" s="14" t="s">
        <v>35</v>
      </c>
      <c r="O16" s="11" t="s">
        <v>31</v>
      </c>
      <c r="P16" s="19"/>
      <c r="Q16" s="18"/>
    </row>
    <row r="17" spans="1:17" ht="54.75" hidden="1" customHeight="1">
      <c r="A17" s="14" t="s">
        <v>39</v>
      </c>
      <c r="B17" s="12" t="s">
        <v>40</v>
      </c>
      <c r="C17" s="14" t="s">
        <v>19</v>
      </c>
      <c r="D17" s="13" t="s">
        <v>24</v>
      </c>
      <c r="E17" s="13" t="s">
        <v>25</v>
      </c>
      <c r="F17" s="13" t="s">
        <v>41</v>
      </c>
      <c r="G17" s="13">
        <v>2022</v>
      </c>
      <c r="H17" s="13"/>
      <c r="I17" s="127">
        <v>1.5</v>
      </c>
      <c r="J17" s="127">
        <v>2.2999999999999998</v>
      </c>
      <c r="K17" s="127">
        <v>3.3</v>
      </c>
      <c r="L17" s="65">
        <v>3</v>
      </c>
      <c r="M17" s="65">
        <v>3</v>
      </c>
      <c r="N17" s="65">
        <v>3</v>
      </c>
      <c r="O17" s="140" t="s">
        <v>36</v>
      </c>
      <c r="P17" s="21"/>
      <c r="Q17" s="16"/>
    </row>
    <row r="18" spans="1:17" ht="54.75" hidden="1" customHeight="1">
      <c r="A18" s="14" t="s">
        <v>42</v>
      </c>
      <c r="B18" s="12" t="s">
        <v>43</v>
      </c>
      <c r="C18" s="14" t="s">
        <v>19</v>
      </c>
      <c r="D18" s="13" t="s">
        <v>24</v>
      </c>
      <c r="E18" s="13" t="s">
        <v>25</v>
      </c>
      <c r="F18" s="13">
        <v>3.1</v>
      </c>
      <c r="G18" s="13">
        <v>2022</v>
      </c>
      <c r="H18" s="22"/>
      <c r="I18" s="127">
        <v>1.8</v>
      </c>
      <c r="J18" s="127">
        <v>29.1</v>
      </c>
      <c r="K18" s="127">
        <v>51.8</v>
      </c>
      <c r="L18" s="65">
        <v>50</v>
      </c>
      <c r="M18" s="65">
        <v>50</v>
      </c>
      <c r="N18" s="65">
        <v>50</v>
      </c>
      <c r="O18" s="140"/>
      <c r="P18" s="21"/>
      <c r="Q18" s="16"/>
    </row>
    <row r="19" spans="1:17" ht="55.5" hidden="1" customHeight="1">
      <c r="A19" s="14" t="s">
        <v>44</v>
      </c>
      <c r="B19" s="12" t="s">
        <v>45</v>
      </c>
      <c r="C19" s="14" t="s">
        <v>19</v>
      </c>
      <c r="D19" s="13" t="s">
        <v>24</v>
      </c>
      <c r="E19" s="13" t="s">
        <v>46</v>
      </c>
      <c r="F19" s="13" t="s">
        <v>41</v>
      </c>
      <c r="G19" s="13">
        <v>2022</v>
      </c>
      <c r="H19" s="23" t="s">
        <v>41</v>
      </c>
      <c r="I19" s="67" t="s">
        <v>41</v>
      </c>
      <c r="J19" s="127">
        <v>1</v>
      </c>
      <c r="K19" s="127">
        <v>1</v>
      </c>
      <c r="L19" s="67" t="s">
        <v>41</v>
      </c>
      <c r="M19" s="67" t="s">
        <v>41</v>
      </c>
      <c r="N19" s="67" t="s">
        <v>41</v>
      </c>
      <c r="O19" s="140"/>
      <c r="P19" s="21"/>
      <c r="Q19" s="16"/>
    </row>
    <row r="20" spans="1:17" ht="41.25" hidden="1" customHeight="1">
      <c r="A20" s="14" t="s">
        <v>47</v>
      </c>
      <c r="B20" s="18" t="s">
        <v>48</v>
      </c>
      <c r="C20" s="14" t="s">
        <v>19</v>
      </c>
      <c r="D20" s="13" t="s">
        <v>24</v>
      </c>
      <c r="E20" s="14" t="s">
        <v>34</v>
      </c>
      <c r="F20" s="14">
        <v>10</v>
      </c>
      <c r="G20" s="13">
        <v>2022</v>
      </c>
      <c r="H20" s="14">
        <v>10</v>
      </c>
      <c r="I20" s="14">
        <v>10</v>
      </c>
      <c r="J20" s="14">
        <v>10</v>
      </c>
      <c r="K20" s="14">
        <v>10</v>
      </c>
      <c r="L20" s="14">
        <v>10</v>
      </c>
      <c r="M20" s="14">
        <v>10</v>
      </c>
      <c r="N20" s="14">
        <v>10</v>
      </c>
      <c r="O20" s="140"/>
      <c r="P20" s="21"/>
      <c r="Q20" s="18"/>
    </row>
    <row r="21" spans="1:17" ht="33.75" customHeight="1">
      <c r="A21" s="24"/>
      <c r="B21" s="24"/>
      <c r="C21" s="24"/>
      <c r="D21" s="24"/>
      <c r="E21" s="25"/>
      <c r="F21" s="25"/>
      <c r="G21" s="26"/>
      <c r="H21" s="25"/>
      <c r="I21" s="25"/>
      <c r="J21" s="25"/>
      <c r="K21" s="25"/>
      <c r="L21" s="25"/>
      <c r="M21" s="25"/>
      <c r="N21" s="25"/>
      <c r="O21" s="24"/>
      <c r="P21" s="24"/>
      <c r="Q21" s="24"/>
    </row>
    <row r="22" spans="1:17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1:17"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8" spans="1:17">
      <c r="J28" s="1" t="s">
        <v>49</v>
      </c>
    </row>
    <row r="29" spans="1:17">
      <c r="M29" s="1" t="s">
        <v>50</v>
      </c>
    </row>
    <row r="34" spans="5:5">
      <c r="E34" s="1" t="s">
        <v>50</v>
      </c>
    </row>
  </sheetData>
  <mergeCells count="17">
    <mergeCell ref="Q7:Q8"/>
    <mergeCell ref="B10:O10"/>
    <mergeCell ref="O12:O13"/>
    <mergeCell ref="O17:O20"/>
    <mergeCell ref="A2:O2"/>
    <mergeCell ref="P2:Q2"/>
    <mergeCell ref="A3:O3"/>
    <mergeCell ref="A5:Q5"/>
    <mergeCell ref="A7:A8"/>
    <mergeCell ref="B7:B8"/>
    <mergeCell ref="C7:C8"/>
    <mergeCell ref="D7:D8"/>
    <mergeCell ref="E7:E8"/>
    <mergeCell ref="F7:G7"/>
    <mergeCell ref="H7:N7"/>
    <mergeCell ref="O7:O8"/>
    <mergeCell ref="P7:P8"/>
  </mergeCells>
  <printOptions horizontalCentered="1"/>
  <pageMargins left="0.39370078740157483" right="0.39370078740157483" top="1.1811023622047245" bottom="0.39370078740157483" header="0.31496062992125984" footer="0.51181102362204722"/>
  <pageSetup paperSize="9" scale="70" firstPageNumber="55" orientation="landscape" useFirstPageNumber="1" horizontalDpi="300" verticalDpi="300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W18"/>
  <sheetViews>
    <sheetView view="pageBreakPreview" zoomScale="80" zoomScalePageLayoutView="80" workbookViewId="0">
      <selection activeCell="P9" sqref="P9"/>
    </sheetView>
  </sheetViews>
  <sheetFormatPr defaultColWidth="9.140625" defaultRowHeight="15"/>
  <cols>
    <col min="1" max="1" width="5.42578125" style="28" customWidth="1"/>
    <col min="2" max="2" width="43.7109375" style="28" customWidth="1"/>
    <col min="3" max="3" width="20" style="28" customWidth="1"/>
    <col min="4" max="4" width="12.85546875" style="28" customWidth="1"/>
    <col min="5" max="5" width="8.7109375" style="28" customWidth="1"/>
    <col min="6" max="6" width="12.140625" style="28" customWidth="1"/>
    <col min="7" max="8" width="9.140625" style="28"/>
    <col min="9" max="9" width="7.5703125" style="28" customWidth="1"/>
    <col min="10" max="12" width="9.140625" style="28"/>
    <col min="13" max="13" width="11" style="28" customWidth="1"/>
    <col min="14" max="15" width="9.140625" style="28"/>
    <col min="16" max="16" width="12.140625" style="28" customWidth="1"/>
    <col min="17" max="16384" width="9.140625" style="28"/>
  </cols>
  <sheetData>
    <row r="1" spans="1:23" s="29" customFormat="1" ht="15.75">
      <c r="A1" s="2" t="str">
        <f>HYPERLINK("#Оглавление!A1","Назад в оглавление")</f>
        <v>Назад в оглавление</v>
      </c>
      <c r="B1" s="4"/>
      <c r="C1" s="4"/>
    </row>
    <row r="2" spans="1:23" ht="23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</row>
    <row r="3" spans="1:23" ht="28.5" customHeight="1">
      <c r="A3" s="148" t="s">
        <v>201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30"/>
    </row>
    <row r="4" spans="1:23" ht="20.25" customHeight="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0"/>
    </row>
    <row r="5" spans="1:23" ht="25.5" customHeight="1">
      <c r="A5" s="149" t="s">
        <v>3</v>
      </c>
      <c r="B5" s="150" t="s">
        <v>51</v>
      </c>
      <c r="C5" s="150" t="s">
        <v>6</v>
      </c>
      <c r="D5" s="150" t="s">
        <v>7</v>
      </c>
      <c r="E5" s="150" t="s">
        <v>52</v>
      </c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 t="s">
        <v>200</v>
      </c>
      <c r="Q5" s="30"/>
    </row>
    <row r="6" spans="1:23" ht="30" customHeight="1">
      <c r="A6" s="149"/>
      <c r="B6" s="150"/>
      <c r="C6" s="150"/>
      <c r="D6" s="150"/>
      <c r="E6" s="33" t="s">
        <v>53</v>
      </c>
      <c r="F6" s="33" t="s">
        <v>54</v>
      </c>
      <c r="G6" s="33" t="s">
        <v>55</v>
      </c>
      <c r="H6" s="33" t="s">
        <v>56</v>
      </c>
      <c r="I6" s="33" t="s">
        <v>57</v>
      </c>
      <c r="J6" s="33" t="s">
        <v>58</v>
      </c>
      <c r="K6" s="33" t="s">
        <v>59</v>
      </c>
      <c r="L6" s="33" t="s">
        <v>60</v>
      </c>
      <c r="M6" s="33" t="s">
        <v>61</v>
      </c>
      <c r="N6" s="33" t="s">
        <v>62</v>
      </c>
      <c r="O6" s="33" t="s">
        <v>63</v>
      </c>
      <c r="P6" s="150"/>
      <c r="Q6" s="30"/>
    </row>
    <row r="7" spans="1:23" ht="24.2" customHeight="1">
      <c r="A7" s="32">
        <v>1</v>
      </c>
      <c r="B7" s="32">
        <v>2</v>
      </c>
      <c r="C7" s="32">
        <v>3</v>
      </c>
      <c r="D7" s="32">
        <v>4</v>
      </c>
      <c r="E7" s="32">
        <v>5</v>
      </c>
      <c r="F7" s="32">
        <v>6</v>
      </c>
      <c r="G7" s="32">
        <v>7</v>
      </c>
      <c r="H7" s="32">
        <v>8</v>
      </c>
      <c r="I7" s="32">
        <v>9</v>
      </c>
      <c r="J7" s="32">
        <v>10</v>
      </c>
      <c r="K7" s="32">
        <v>11</v>
      </c>
      <c r="L7" s="32">
        <v>12</v>
      </c>
      <c r="M7" s="32">
        <v>13</v>
      </c>
      <c r="N7" s="32">
        <v>14</v>
      </c>
      <c r="O7" s="32">
        <v>15</v>
      </c>
      <c r="P7" s="32">
        <v>16</v>
      </c>
      <c r="Q7" s="30"/>
    </row>
    <row r="8" spans="1:23" ht="45" customHeight="1">
      <c r="A8" s="32" t="s">
        <v>15</v>
      </c>
      <c r="B8" s="147" t="s">
        <v>16</v>
      </c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30"/>
    </row>
    <row r="9" spans="1:23" s="36" customFormat="1" ht="105.75" customHeight="1">
      <c r="A9" s="13" t="s">
        <v>17</v>
      </c>
      <c r="B9" s="12" t="s">
        <v>64</v>
      </c>
      <c r="C9" s="14" t="s">
        <v>20</v>
      </c>
      <c r="D9" s="13" t="s">
        <v>21</v>
      </c>
      <c r="E9" s="15">
        <v>8.6</v>
      </c>
      <c r="F9" s="15">
        <v>16.7</v>
      </c>
      <c r="G9" s="15">
        <v>7.1</v>
      </c>
      <c r="H9" s="15">
        <v>3.3</v>
      </c>
      <c r="I9" s="15">
        <v>17</v>
      </c>
      <c r="J9" s="15">
        <v>8.8000000000000007</v>
      </c>
      <c r="K9" s="15">
        <v>17.3</v>
      </c>
      <c r="L9" s="15">
        <v>24.4</v>
      </c>
      <c r="M9" s="15">
        <v>24.5</v>
      </c>
      <c r="N9" s="15">
        <v>12.7</v>
      </c>
      <c r="O9" s="15">
        <v>19.3</v>
      </c>
      <c r="P9" s="15">
        <f>SUM(E9:O9)</f>
        <v>159.69999999999999</v>
      </c>
      <c r="Q9" s="35"/>
    </row>
    <row r="10" spans="1:23" ht="36.75" hidden="1" customHeight="1">
      <c r="A10" s="37" t="s">
        <v>17</v>
      </c>
      <c r="B10" s="12" t="s">
        <v>23</v>
      </c>
      <c r="C10" s="13" t="s">
        <v>24</v>
      </c>
      <c r="D10" s="38" t="s">
        <v>25</v>
      </c>
      <c r="E10" s="15">
        <v>6339.9</v>
      </c>
      <c r="F10" s="15">
        <v>6339.9</v>
      </c>
      <c r="G10" s="15">
        <v>6339.9</v>
      </c>
      <c r="H10" s="15">
        <v>6339.9</v>
      </c>
      <c r="I10" s="15">
        <v>6339.9</v>
      </c>
      <c r="J10" s="15">
        <v>6339.9</v>
      </c>
      <c r="K10" s="15">
        <v>6339.9</v>
      </c>
      <c r="L10" s="15">
        <v>6339.9</v>
      </c>
      <c r="M10" s="15">
        <v>6339.9</v>
      </c>
      <c r="N10" s="15">
        <v>6339.9</v>
      </c>
      <c r="O10" s="15">
        <v>6339.9</v>
      </c>
      <c r="P10" s="15">
        <v>6339.9</v>
      </c>
      <c r="Q10" s="30"/>
    </row>
    <row r="11" spans="1:23" ht="34.5" hidden="1" customHeight="1">
      <c r="A11" s="14" t="s">
        <v>27</v>
      </c>
      <c r="B11" s="12" t="s">
        <v>28</v>
      </c>
      <c r="C11" s="13" t="s">
        <v>24</v>
      </c>
      <c r="D11" s="38" t="s">
        <v>25</v>
      </c>
      <c r="E11" s="34" t="s">
        <v>35</v>
      </c>
      <c r="F11" s="34" t="s">
        <v>35</v>
      </c>
      <c r="G11" s="34" t="s">
        <v>35</v>
      </c>
      <c r="H11" s="34" t="s">
        <v>35</v>
      </c>
      <c r="I11" s="34">
        <v>26.7</v>
      </c>
      <c r="J11" s="34">
        <f>31-I11</f>
        <v>4.3000000000000007</v>
      </c>
      <c r="K11" s="39">
        <f>38.9-I11-J11</f>
        <v>7.8999999999999986</v>
      </c>
      <c r="L11" s="39">
        <f>38.9-I11-J11-K11</f>
        <v>0</v>
      </c>
      <c r="M11" s="39">
        <f>53.1-I11-J11-K11-L11</f>
        <v>14.200000000000003</v>
      </c>
      <c r="N11" s="39">
        <v>0.3</v>
      </c>
      <c r="O11" s="23">
        <v>2.7</v>
      </c>
      <c r="P11" s="39">
        <v>56.1</v>
      </c>
      <c r="Q11" s="30"/>
    </row>
    <row r="12" spans="1:23" ht="35.25" hidden="1" customHeight="1">
      <c r="A12" s="14" t="s">
        <v>29</v>
      </c>
      <c r="B12" s="12" t="s">
        <v>30</v>
      </c>
      <c r="C12" s="13" t="s">
        <v>24</v>
      </c>
      <c r="D12" s="38" t="s">
        <v>25</v>
      </c>
      <c r="E12" s="34" t="s">
        <v>35</v>
      </c>
      <c r="F12" s="34" t="s">
        <v>35</v>
      </c>
      <c r="G12" s="34" t="s">
        <v>35</v>
      </c>
      <c r="H12" s="34">
        <v>25.6</v>
      </c>
      <c r="I12" s="34">
        <f>46.7-H12</f>
        <v>21.1</v>
      </c>
      <c r="J12" s="40">
        <f>60.7-H12-I12</f>
        <v>14</v>
      </c>
      <c r="K12" s="40">
        <f>71.2-H12-I12-J12</f>
        <v>10.5</v>
      </c>
      <c r="L12" s="40">
        <f>75.5-H12-I12-J12-K12</f>
        <v>4.2999999999999972</v>
      </c>
      <c r="M12" s="40">
        <f>75.5-H12-I12-J12-K12-L12</f>
        <v>0</v>
      </c>
      <c r="N12" s="40">
        <v>15.2</v>
      </c>
      <c r="O12" s="40">
        <v>10</v>
      </c>
      <c r="P12" s="40">
        <v>100.7</v>
      </c>
      <c r="Q12" s="30"/>
    </row>
    <row r="13" spans="1:23" ht="33.75" hidden="1" customHeight="1">
      <c r="A13" s="14" t="s">
        <v>32</v>
      </c>
      <c r="B13" s="12" t="s">
        <v>33</v>
      </c>
      <c r="C13" s="13" t="s">
        <v>24</v>
      </c>
      <c r="D13" s="38" t="s">
        <v>65</v>
      </c>
      <c r="E13" s="34" t="s">
        <v>35</v>
      </c>
      <c r="F13" s="34" t="s">
        <v>35</v>
      </c>
      <c r="G13" s="34" t="s">
        <v>35</v>
      </c>
      <c r="H13" s="34" t="s">
        <v>35</v>
      </c>
      <c r="I13" s="34" t="s">
        <v>35</v>
      </c>
      <c r="J13" s="34" t="s">
        <v>35</v>
      </c>
      <c r="K13" s="34" t="s">
        <v>35</v>
      </c>
      <c r="L13" s="34" t="s">
        <v>35</v>
      </c>
      <c r="M13" s="34" t="s">
        <v>35</v>
      </c>
      <c r="N13" s="41"/>
      <c r="O13" s="41"/>
      <c r="P13" s="41"/>
      <c r="Q13" s="30"/>
    </row>
    <row r="14" spans="1:23" ht="36.75" hidden="1" customHeight="1">
      <c r="A14" s="14" t="s">
        <v>37</v>
      </c>
      <c r="B14" s="12" t="s">
        <v>38</v>
      </c>
      <c r="C14" s="13" t="s">
        <v>24</v>
      </c>
      <c r="D14" s="38" t="s">
        <v>65</v>
      </c>
      <c r="E14" s="34" t="s">
        <v>35</v>
      </c>
      <c r="F14" s="34" t="s">
        <v>35</v>
      </c>
      <c r="G14" s="34" t="s">
        <v>35</v>
      </c>
      <c r="H14" s="34" t="s">
        <v>35</v>
      </c>
      <c r="I14" s="34" t="s">
        <v>35</v>
      </c>
      <c r="J14" s="34" t="s">
        <v>35</v>
      </c>
      <c r="K14" s="34" t="s">
        <v>35</v>
      </c>
      <c r="L14" s="34" t="s">
        <v>35</v>
      </c>
      <c r="M14" s="34" t="s">
        <v>35</v>
      </c>
      <c r="N14" s="41">
        <v>1</v>
      </c>
      <c r="O14" s="41">
        <v>1</v>
      </c>
      <c r="P14" s="41">
        <v>1</v>
      </c>
      <c r="Q14" s="30"/>
    </row>
    <row r="15" spans="1:23" ht="60" hidden="1" customHeight="1">
      <c r="A15" s="14" t="s">
        <v>39</v>
      </c>
      <c r="B15" s="12" t="s">
        <v>40</v>
      </c>
      <c r="C15" s="13" t="s">
        <v>24</v>
      </c>
      <c r="D15" s="38" t="s">
        <v>25</v>
      </c>
      <c r="E15" s="34" t="s">
        <v>41</v>
      </c>
      <c r="F15" s="34" t="s">
        <v>41</v>
      </c>
      <c r="G15" s="34" t="s">
        <v>41</v>
      </c>
      <c r="H15" s="34" t="s">
        <v>41</v>
      </c>
      <c r="I15" s="34" t="s">
        <v>41</v>
      </c>
      <c r="J15" s="34" t="s">
        <v>41</v>
      </c>
      <c r="K15" s="34" t="s">
        <v>41</v>
      </c>
      <c r="L15" s="34" t="s">
        <v>41</v>
      </c>
      <c r="M15" s="34" t="s">
        <v>41</v>
      </c>
      <c r="N15" s="34" t="s">
        <v>41</v>
      </c>
      <c r="O15" s="34" t="s">
        <v>41</v>
      </c>
      <c r="P15" s="34" t="s">
        <v>41</v>
      </c>
      <c r="Q15" s="30"/>
      <c r="W15" s="28" t="s">
        <v>14</v>
      </c>
    </row>
    <row r="16" spans="1:23" ht="40.5" hidden="1" customHeight="1">
      <c r="A16" s="14" t="s">
        <v>42</v>
      </c>
      <c r="B16" s="12" t="s">
        <v>43</v>
      </c>
      <c r="C16" s="13" t="s">
        <v>24</v>
      </c>
      <c r="D16" s="38" t="s">
        <v>25</v>
      </c>
      <c r="E16" s="34" t="s">
        <v>41</v>
      </c>
      <c r="F16" s="34" t="s">
        <v>41</v>
      </c>
      <c r="G16" s="34" t="s">
        <v>41</v>
      </c>
      <c r="H16" s="34" t="s">
        <v>41</v>
      </c>
      <c r="I16" s="34" t="s">
        <v>41</v>
      </c>
      <c r="J16" s="34" t="s">
        <v>41</v>
      </c>
      <c r="K16" s="34" t="s">
        <v>41</v>
      </c>
      <c r="L16" s="34" t="s">
        <v>41</v>
      </c>
      <c r="M16" s="38">
        <v>11.1</v>
      </c>
      <c r="N16" s="34" t="s">
        <v>41</v>
      </c>
      <c r="O16" s="38"/>
      <c r="P16" s="38">
        <v>11.1</v>
      </c>
      <c r="Q16" s="30"/>
    </row>
    <row r="17" spans="1:17" ht="48.75" hidden="1" customHeight="1">
      <c r="A17" s="14" t="s">
        <v>44</v>
      </c>
      <c r="B17" s="12" t="s">
        <v>45</v>
      </c>
      <c r="C17" s="13" t="s">
        <v>24</v>
      </c>
      <c r="D17" s="38" t="s">
        <v>65</v>
      </c>
      <c r="E17" s="34" t="s">
        <v>41</v>
      </c>
      <c r="F17" s="34" t="s">
        <v>41</v>
      </c>
      <c r="G17" s="34" t="s">
        <v>41</v>
      </c>
      <c r="H17" s="34" t="s">
        <v>41</v>
      </c>
      <c r="I17" s="34" t="s">
        <v>41</v>
      </c>
      <c r="J17" s="34" t="s">
        <v>41</v>
      </c>
      <c r="K17" s="34" t="s">
        <v>41</v>
      </c>
      <c r="L17" s="34" t="s">
        <v>41</v>
      </c>
      <c r="M17" s="34" t="s">
        <v>41</v>
      </c>
      <c r="N17" s="34" t="s">
        <v>41</v>
      </c>
      <c r="O17" s="34" t="s">
        <v>41</v>
      </c>
      <c r="P17" s="34" t="s">
        <v>41</v>
      </c>
      <c r="Q17" s="30"/>
    </row>
    <row r="18" spans="1:17" ht="36.75" hidden="1" customHeight="1">
      <c r="A18" s="14" t="s">
        <v>47</v>
      </c>
      <c r="B18" s="18" t="s">
        <v>48</v>
      </c>
      <c r="C18" s="13" t="s">
        <v>24</v>
      </c>
      <c r="D18" s="14" t="s">
        <v>34</v>
      </c>
      <c r="E18" s="34" t="s">
        <v>35</v>
      </c>
      <c r="F18" s="34" t="s">
        <v>35</v>
      </c>
      <c r="G18" s="34" t="s">
        <v>35</v>
      </c>
      <c r="H18" s="34" t="s">
        <v>35</v>
      </c>
      <c r="I18" s="34" t="s">
        <v>35</v>
      </c>
      <c r="J18" s="34" t="s">
        <v>35</v>
      </c>
      <c r="K18" s="41">
        <v>2</v>
      </c>
      <c r="L18" s="41">
        <v>4</v>
      </c>
      <c r="M18" s="41">
        <v>6</v>
      </c>
      <c r="N18" s="41">
        <v>8</v>
      </c>
      <c r="O18" s="41">
        <v>10</v>
      </c>
      <c r="P18" s="41">
        <v>10</v>
      </c>
      <c r="Q18" s="30"/>
    </row>
  </sheetData>
  <mergeCells count="9">
    <mergeCell ref="B8:P8"/>
    <mergeCell ref="A2:P2"/>
    <mergeCell ref="A3:P3"/>
    <mergeCell ref="A5:A6"/>
    <mergeCell ref="B5:B6"/>
    <mergeCell ref="C5:C6"/>
    <mergeCell ref="D5:D6"/>
    <mergeCell ref="E5:O5"/>
    <mergeCell ref="P5:P6"/>
  </mergeCells>
  <printOptions horizontalCentered="1"/>
  <pageMargins left="0.39370078740157483" right="0.39370078740157483" top="1.1811023622047245" bottom="0.39370078740157483" header="0.31496062992125984" footer="0.51181102362204722"/>
  <pageSetup paperSize="9" scale="70" firstPageNumber="56" orientation="landscape" useFirstPageNumber="1" horizontalDpi="300" verticalDpi="300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X33"/>
  <sheetViews>
    <sheetView view="pageBreakPreview" topLeftCell="A7" zoomScale="80" zoomScalePageLayoutView="80" workbookViewId="0">
      <selection activeCell="C24" sqref="C24"/>
    </sheetView>
  </sheetViews>
  <sheetFormatPr defaultColWidth="9.140625" defaultRowHeight="15"/>
  <cols>
    <col min="1" max="1" width="6.42578125" style="28" customWidth="1"/>
    <col min="2" max="2" width="43.85546875" style="28" customWidth="1"/>
    <col min="3" max="3" width="10.28515625" style="28" customWidth="1"/>
    <col min="4" max="5" width="7.5703125" style="28" customWidth="1"/>
    <col min="6" max="6" width="9.7109375" style="28" customWidth="1"/>
    <col min="7" max="7" width="7.7109375" style="28" customWidth="1"/>
    <col min="8" max="8" width="6.85546875" style="28" customWidth="1"/>
    <col min="9" max="9" width="8.140625" style="28" customWidth="1"/>
    <col min="10" max="10" width="7.5703125" style="28" customWidth="1"/>
    <col min="11" max="11" width="7.7109375" style="28" customWidth="1"/>
    <col min="12" max="16384" width="9.140625" style="28"/>
  </cols>
  <sheetData>
    <row r="1" spans="1:24" s="29" customFormat="1" ht="15.75">
      <c r="A1" s="2" t="str">
        <f>HYPERLINK("#Оглавление!A1","Назад в оглавление")</f>
        <v>Назад в оглавление</v>
      </c>
      <c r="B1" s="4"/>
    </row>
    <row r="2" spans="1:24" ht="46.5" customHeight="1">
      <c r="A2" s="152" t="s">
        <v>214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42"/>
    </row>
    <row r="3" spans="1:24" ht="27.7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2"/>
    </row>
    <row r="4" spans="1:24" ht="36.75" customHeight="1">
      <c r="A4" s="144" t="s">
        <v>3</v>
      </c>
      <c r="B4" s="144" t="s">
        <v>66</v>
      </c>
      <c r="C4" s="144" t="s">
        <v>8</v>
      </c>
      <c r="D4" s="144"/>
      <c r="E4" s="144" t="s">
        <v>67</v>
      </c>
      <c r="F4" s="144"/>
      <c r="G4" s="144"/>
      <c r="H4" s="144"/>
      <c r="I4" s="144"/>
      <c r="J4" s="144"/>
      <c r="K4" s="144"/>
    </row>
    <row r="5" spans="1:24" ht="47.25" customHeight="1">
      <c r="A5" s="144"/>
      <c r="B5" s="144"/>
      <c r="C5" s="134" t="s">
        <v>12</v>
      </c>
      <c r="D5" s="134" t="s">
        <v>68</v>
      </c>
      <c r="E5" s="134" t="s">
        <v>198</v>
      </c>
      <c r="F5" s="134" t="s">
        <v>69</v>
      </c>
      <c r="G5" s="134" t="s">
        <v>70</v>
      </c>
      <c r="H5" s="134" t="s">
        <v>71</v>
      </c>
      <c r="I5" s="134" t="s">
        <v>72</v>
      </c>
      <c r="J5" s="134" t="s">
        <v>73</v>
      </c>
      <c r="K5" s="134" t="s">
        <v>74</v>
      </c>
    </row>
    <row r="6" spans="1:24" ht="18" customHeight="1">
      <c r="A6" s="134">
        <v>1</v>
      </c>
      <c r="B6" s="134">
        <v>2</v>
      </c>
      <c r="C6" s="134">
        <v>3</v>
      </c>
      <c r="D6" s="134">
        <v>4</v>
      </c>
      <c r="E6" s="134">
        <v>5</v>
      </c>
      <c r="F6" s="134">
        <v>6</v>
      </c>
      <c r="G6" s="134">
        <v>7</v>
      </c>
      <c r="H6" s="134">
        <v>8</v>
      </c>
      <c r="I6" s="134">
        <v>9</v>
      </c>
      <c r="J6" s="134">
        <v>10</v>
      </c>
      <c r="K6" s="134">
        <v>11</v>
      </c>
    </row>
    <row r="7" spans="1:24" ht="36" customHeight="1">
      <c r="A7" s="134" t="s">
        <v>15</v>
      </c>
      <c r="B7" s="147" t="s">
        <v>16</v>
      </c>
      <c r="C7" s="147"/>
      <c r="D7" s="147"/>
      <c r="E7" s="147"/>
      <c r="F7" s="147"/>
      <c r="G7" s="147"/>
      <c r="H7" s="147"/>
      <c r="I7" s="147"/>
      <c r="J7" s="147"/>
      <c r="K7" s="147"/>
    </row>
    <row r="8" spans="1:24" ht="35.25" customHeight="1">
      <c r="A8" s="135"/>
      <c r="B8" s="44" t="s">
        <v>75</v>
      </c>
      <c r="C8" s="17">
        <f>SUM(C9:C30)-0.02</f>
        <v>279.64000000000004</v>
      </c>
      <c r="D8" s="14">
        <v>2022</v>
      </c>
      <c r="E8" s="17">
        <f>SUM(E9:E30)</f>
        <v>106.87170000000002</v>
      </c>
      <c r="F8" s="17">
        <f>SUM(F9:F30)</f>
        <v>99.291999999999987</v>
      </c>
      <c r="G8" s="17">
        <f>SUM(G9:G30)</f>
        <v>98.477999999999994</v>
      </c>
      <c r="H8" s="17"/>
      <c r="I8" s="17"/>
      <c r="J8" s="17"/>
      <c r="K8" s="17"/>
    </row>
    <row r="9" spans="1:24" ht="26.25" customHeight="1">
      <c r="A9" s="135" t="s">
        <v>17</v>
      </c>
      <c r="B9" s="45" t="s">
        <v>76</v>
      </c>
      <c r="C9" s="46">
        <v>2.17</v>
      </c>
      <c r="D9" s="135">
        <v>2022</v>
      </c>
      <c r="E9" s="46">
        <v>10.3</v>
      </c>
      <c r="F9" s="46">
        <v>2.7</v>
      </c>
      <c r="G9" s="46">
        <v>8.43</v>
      </c>
      <c r="H9" s="14"/>
      <c r="I9" s="14"/>
      <c r="J9" s="14"/>
      <c r="K9" s="14"/>
    </row>
    <row r="10" spans="1:24" ht="27.75" customHeight="1">
      <c r="A10" s="135" t="s">
        <v>27</v>
      </c>
      <c r="B10" s="45" t="s">
        <v>232</v>
      </c>
      <c r="C10" s="46">
        <v>8.8279999999999994</v>
      </c>
      <c r="D10" s="135">
        <v>2022</v>
      </c>
      <c r="E10" s="46">
        <v>17.148</v>
      </c>
      <c r="F10" s="46">
        <v>42.683999999999997</v>
      </c>
      <c r="G10" s="46">
        <v>19.367000000000001</v>
      </c>
      <c r="H10" s="14"/>
      <c r="I10" s="14"/>
      <c r="J10" s="14"/>
      <c r="K10" s="14"/>
    </row>
    <row r="11" spans="1:24" ht="36" customHeight="1">
      <c r="A11" s="135" t="s">
        <v>29</v>
      </c>
      <c r="B11" s="136" t="s">
        <v>233</v>
      </c>
      <c r="C11" s="46">
        <v>0.59799999999999998</v>
      </c>
      <c r="D11" s="135">
        <v>2022</v>
      </c>
      <c r="E11" s="46">
        <v>1.3919999999999999</v>
      </c>
      <c r="F11" s="46">
        <v>1.3640000000000001</v>
      </c>
      <c r="G11" s="46"/>
      <c r="H11" s="14"/>
      <c r="I11" s="14"/>
      <c r="J11" s="14"/>
      <c r="K11" s="14"/>
    </row>
    <row r="12" spans="1:24" ht="36" customHeight="1">
      <c r="A12" s="135" t="s">
        <v>32</v>
      </c>
      <c r="B12" s="136" t="s">
        <v>77</v>
      </c>
      <c r="C12" s="46">
        <v>3.9849999999999999</v>
      </c>
      <c r="D12" s="135">
        <v>2022</v>
      </c>
      <c r="E12" s="46">
        <f>0.341+(1.25-0.57)+0.43+0.85</f>
        <v>2.3010000000000002</v>
      </c>
      <c r="F12" s="47">
        <f>4.266+3.41+0.857</f>
        <v>8.5329999999999995</v>
      </c>
      <c r="G12" s="47"/>
      <c r="H12" s="14"/>
      <c r="I12" s="14"/>
      <c r="J12" s="14"/>
      <c r="K12" s="14"/>
    </row>
    <row r="13" spans="1:24" ht="36" customHeight="1">
      <c r="A13" s="135" t="s">
        <v>37</v>
      </c>
      <c r="B13" s="45" t="s">
        <v>234</v>
      </c>
      <c r="C13" s="48">
        <v>33.860999999999997</v>
      </c>
      <c r="D13" s="135">
        <v>2022</v>
      </c>
      <c r="E13" s="49"/>
      <c r="F13" s="14"/>
      <c r="G13" s="14"/>
      <c r="H13" s="14"/>
      <c r="I13" s="14"/>
      <c r="J13" s="14"/>
      <c r="K13" s="14"/>
      <c r="X13" s="28" t="s">
        <v>14</v>
      </c>
    </row>
    <row r="14" spans="1:24" ht="36" customHeight="1">
      <c r="A14" s="135" t="s">
        <v>39</v>
      </c>
      <c r="B14" s="45" t="s">
        <v>235</v>
      </c>
      <c r="C14" s="48">
        <v>21.495999999999999</v>
      </c>
      <c r="D14" s="135">
        <v>2022</v>
      </c>
      <c r="E14" s="46">
        <v>6.5810000000000004</v>
      </c>
      <c r="F14" s="46">
        <v>1.85</v>
      </c>
      <c r="G14" s="46">
        <v>1.45</v>
      </c>
      <c r="H14" s="14"/>
      <c r="I14" s="14"/>
      <c r="J14" s="14"/>
      <c r="K14" s="14"/>
    </row>
    <row r="15" spans="1:24" ht="36" customHeight="1">
      <c r="A15" s="135" t="s">
        <v>42</v>
      </c>
      <c r="B15" s="45" t="s">
        <v>78</v>
      </c>
      <c r="C15" s="48">
        <v>2.319</v>
      </c>
      <c r="D15" s="135">
        <v>2022</v>
      </c>
      <c r="E15" s="46">
        <v>3.7170000000000001</v>
      </c>
      <c r="F15" s="14"/>
      <c r="G15" s="46">
        <v>7.2519999999999998</v>
      </c>
      <c r="H15" s="14"/>
      <c r="I15" s="14"/>
      <c r="J15" s="14"/>
      <c r="K15" s="14"/>
    </row>
    <row r="16" spans="1:24" ht="36" customHeight="1">
      <c r="A16" s="135" t="s">
        <v>44</v>
      </c>
      <c r="B16" s="137" t="s">
        <v>79</v>
      </c>
      <c r="C16" s="48">
        <v>0.24</v>
      </c>
      <c r="D16" s="135">
        <v>2022</v>
      </c>
      <c r="E16" s="49"/>
      <c r="F16" s="14"/>
      <c r="G16" s="14"/>
      <c r="H16" s="14"/>
      <c r="I16" s="14"/>
      <c r="J16" s="14"/>
      <c r="K16" s="14"/>
    </row>
    <row r="17" spans="1:11" ht="36" customHeight="1">
      <c r="A17" s="135" t="s">
        <v>47</v>
      </c>
      <c r="B17" s="45" t="s">
        <v>236</v>
      </c>
      <c r="C17" s="48">
        <v>26.245999999999999</v>
      </c>
      <c r="D17" s="135">
        <v>2022</v>
      </c>
      <c r="E17" s="46">
        <v>2.9460000000000002</v>
      </c>
      <c r="F17" s="14"/>
      <c r="G17" s="46">
        <v>5.9379999999999997</v>
      </c>
      <c r="H17" s="14"/>
      <c r="I17" s="14"/>
      <c r="J17" s="14"/>
      <c r="K17" s="14"/>
    </row>
    <row r="18" spans="1:11" ht="36" customHeight="1">
      <c r="A18" s="135" t="s">
        <v>80</v>
      </c>
      <c r="B18" s="137" t="s">
        <v>237</v>
      </c>
      <c r="C18" s="48">
        <v>10.768000000000001</v>
      </c>
      <c r="D18" s="135">
        <v>2022</v>
      </c>
      <c r="E18" s="46">
        <v>2.5720000000000001</v>
      </c>
      <c r="F18" s="99">
        <v>8.2070000000000007</v>
      </c>
      <c r="G18" s="99">
        <v>0.21</v>
      </c>
      <c r="H18" s="14"/>
      <c r="I18" s="14"/>
      <c r="J18" s="14"/>
      <c r="K18" s="14"/>
    </row>
    <row r="19" spans="1:11" ht="36" customHeight="1">
      <c r="A19" s="135" t="s">
        <v>81</v>
      </c>
      <c r="B19" s="45" t="s">
        <v>238</v>
      </c>
      <c r="C19" s="48">
        <v>6.3150000000000004</v>
      </c>
      <c r="D19" s="135">
        <v>2022</v>
      </c>
      <c r="E19" s="48">
        <v>4.0289999999999999</v>
      </c>
      <c r="F19" s="135"/>
      <c r="G19" s="135">
        <v>7.298</v>
      </c>
      <c r="H19" s="14"/>
      <c r="I19" s="14"/>
      <c r="J19" s="14"/>
      <c r="K19" s="14"/>
    </row>
    <row r="20" spans="1:11" ht="36" customHeight="1">
      <c r="A20" s="135" t="s">
        <v>82</v>
      </c>
      <c r="B20" s="50" t="s">
        <v>239</v>
      </c>
      <c r="C20" s="48">
        <v>23.195</v>
      </c>
      <c r="D20" s="135">
        <v>2022</v>
      </c>
      <c r="E20" s="48">
        <v>0.94199999999999995</v>
      </c>
      <c r="F20" s="48">
        <v>18.654</v>
      </c>
      <c r="G20" s="48"/>
      <c r="H20" s="14"/>
      <c r="I20" s="14"/>
      <c r="J20" s="14"/>
      <c r="K20" s="14"/>
    </row>
    <row r="21" spans="1:11" ht="36" customHeight="1">
      <c r="A21" s="135" t="s">
        <v>83</v>
      </c>
      <c r="B21" s="45" t="s">
        <v>240</v>
      </c>
      <c r="C21" s="49" t="s">
        <v>41</v>
      </c>
      <c r="D21" s="135">
        <v>2022</v>
      </c>
      <c r="E21" s="46">
        <v>3.4420000000000002</v>
      </c>
      <c r="F21" s="14"/>
      <c r="G21" s="46">
        <v>4.702</v>
      </c>
      <c r="H21" s="14"/>
      <c r="I21" s="14"/>
      <c r="J21" s="14"/>
      <c r="K21" s="14"/>
    </row>
    <row r="22" spans="1:11" ht="36" customHeight="1">
      <c r="A22" s="135" t="s">
        <v>84</v>
      </c>
      <c r="B22" s="45" t="s">
        <v>85</v>
      </c>
      <c r="C22" s="48">
        <v>2.2749999999999999</v>
      </c>
      <c r="D22" s="135">
        <v>2022</v>
      </c>
      <c r="E22" s="46"/>
      <c r="F22" s="14"/>
      <c r="G22" s="46"/>
      <c r="H22" s="14"/>
      <c r="I22" s="14"/>
      <c r="J22" s="14"/>
      <c r="K22" s="14"/>
    </row>
    <row r="23" spans="1:11" ht="27.75" customHeight="1">
      <c r="A23" s="135" t="s">
        <v>86</v>
      </c>
      <c r="B23" s="50" t="s">
        <v>241</v>
      </c>
      <c r="C23" s="46">
        <v>10.484999999999999</v>
      </c>
      <c r="D23" s="135">
        <v>2022</v>
      </c>
      <c r="E23" s="46">
        <f>7.155+1.225</f>
        <v>8.3800000000000008</v>
      </c>
      <c r="F23" s="46">
        <f>0.24+0.102</f>
        <v>0.34199999999999997</v>
      </c>
      <c r="G23" s="46">
        <v>5.351</v>
      </c>
      <c r="H23" s="14"/>
      <c r="I23" s="14"/>
      <c r="J23" s="14"/>
      <c r="K23" s="14"/>
    </row>
    <row r="24" spans="1:11" ht="36" customHeight="1">
      <c r="A24" s="135" t="s">
        <v>87</v>
      </c>
      <c r="B24" s="50" t="s">
        <v>242</v>
      </c>
      <c r="C24" s="49" t="s">
        <v>41</v>
      </c>
      <c r="D24" s="135">
        <v>2022</v>
      </c>
      <c r="E24" s="46">
        <v>1.2070000000000001</v>
      </c>
      <c r="F24" s="46">
        <v>1.75</v>
      </c>
      <c r="G24" s="46">
        <v>5.08</v>
      </c>
      <c r="H24" s="14"/>
      <c r="I24" s="14"/>
      <c r="J24" s="14"/>
      <c r="K24" s="14"/>
    </row>
    <row r="25" spans="1:11" ht="36" customHeight="1">
      <c r="A25" s="135" t="s">
        <v>88</v>
      </c>
      <c r="B25" s="45" t="s">
        <v>244</v>
      </c>
      <c r="C25" s="46">
        <v>25.6</v>
      </c>
      <c r="D25" s="135">
        <v>2022</v>
      </c>
      <c r="E25" s="49"/>
      <c r="F25" s="14"/>
      <c r="G25" s="14"/>
      <c r="H25" s="14"/>
      <c r="I25" s="14"/>
      <c r="J25" s="14"/>
      <c r="K25" s="14"/>
    </row>
    <row r="26" spans="1:11" ht="36" customHeight="1">
      <c r="A26" s="135" t="s">
        <v>89</v>
      </c>
      <c r="B26" s="45" t="s">
        <v>90</v>
      </c>
      <c r="C26" s="46">
        <v>39.274999999999999</v>
      </c>
      <c r="D26" s="135">
        <v>2022</v>
      </c>
      <c r="E26" s="46">
        <v>19.72</v>
      </c>
      <c r="F26" s="46">
        <f>1.108+12.1</f>
        <v>13.208</v>
      </c>
      <c r="G26" s="14"/>
      <c r="H26" s="14"/>
      <c r="I26" s="14"/>
      <c r="J26" s="14"/>
      <c r="K26" s="14"/>
    </row>
    <row r="27" spans="1:11" ht="36" customHeight="1">
      <c r="A27" s="135" t="s">
        <v>91</v>
      </c>
      <c r="B27" s="45" t="s">
        <v>243</v>
      </c>
      <c r="C27" s="48">
        <v>4.944</v>
      </c>
      <c r="D27" s="135">
        <v>2022</v>
      </c>
      <c r="E27" s="51">
        <v>6.28</v>
      </c>
      <c r="F27" s="14"/>
      <c r="G27" s="46">
        <v>11.436999999999999</v>
      </c>
      <c r="H27" s="14"/>
      <c r="I27" s="14"/>
      <c r="J27" s="14"/>
      <c r="K27" s="14"/>
    </row>
    <row r="28" spans="1:11" ht="27.75" customHeight="1">
      <c r="A28" s="135" t="s">
        <v>92</v>
      </c>
      <c r="B28" s="45" t="s">
        <v>93</v>
      </c>
      <c r="C28" s="48">
        <v>26.209</v>
      </c>
      <c r="D28" s="135">
        <v>2022</v>
      </c>
      <c r="E28" s="49"/>
      <c r="F28" s="14"/>
      <c r="G28" s="51">
        <v>19.122</v>
      </c>
      <c r="H28" s="14"/>
      <c r="I28" s="14"/>
      <c r="J28" s="14"/>
      <c r="K28" s="14"/>
    </row>
    <row r="29" spans="1:11" ht="29.25" customHeight="1">
      <c r="A29" s="135" t="s">
        <v>94</v>
      </c>
      <c r="B29" s="50" t="s">
        <v>95</v>
      </c>
      <c r="C29" s="48">
        <v>2.2999999999999998</v>
      </c>
      <c r="D29" s="135">
        <v>2022</v>
      </c>
      <c r="E29" s="46">
        <v>4.9347000000000003</v>
      </c>
      <c r="F29" s="14"/>
      <c r="G29" s="14"/>
      <c r="H29" s="14"/>
      <c r="I29" s="14"/>
      <c r="J29" s="14"/>
      <c r="K29" s="14"/>
    </row>
    <row r="30" spans="1:11" ht="28.5" customHeight="1">
      <c r="A30" s="135" t="s">
        <v>96</v>
      </c>
      <c r="B30" s="50" t="s">
        <v>97</v>
      </c>
      <c r="C30" s="48">
        <v>28.550999999999998</v>
      </c>
      <c r="D30" s="135">
        <v>2022</v>
      </c>
      <c r="E30" s="48">
        <v>10.98</v>
      </c>
      <c r="F30" s="48"/>
      <c r="G30" s="14">
        <v>2.8410000000000002</v>
      </c>
      <c r="H30" s="14"/>
      <c r="I30" s="14"/>
      <c r="J30" s="14"/>
      <c r="K30" s="14"/>
    </row>
    <row r="31" spans="1:11" ht="15" customHeight="1">
      <c r="A31" s="52"/>
      <c r="B31" s="53"/>
      <c r="C31" s="54"/>
      <c r="D31" s="25"/>
      <c r="E31" s="54"/>
      <c r="F31" s="25"/>
      <c r="G31" s="25"/>
      <c r="H31" s="25"/>
      <c r="I31" s="25"/>
      <c r="J31" s="25"/>
      <c r="K31" s="25"/>
    </row>
    <row r="32" spans="1:11" ht="24.75" customHeight="1">
      <c r="A32" s="98" t="s">
        <v>98</v>
      </c>
      <c r="B32" s="151" t="s">
        <v>99</v>
      </c>
      <c r="C32" s="151"/>
      <c r="D32" s="151"/>
      <c r="E32" s="151"/>
      <c r="F32" s="151"/>
      <c r="G32" s="151"/>
      <c r="H32" s="151"/>
      <c r="I32" s="151"/>
      <c r="J32" s="151"/>
      <c r="K32" s="151"/>
    </row>
    <row r="33" spans="1:11" ht="15" customHeight="1">
      <c r="A33" s="52"/>
      <c r="B33" s="56"/>
      <c r="C33" s="25"/>
      <c r="D33" s="25"/>
      <c r="E33" s="25"/>
      <c r="F33" s="25"/>
      <c r="G33" s="25"/>
      <c r="H33" s="25"/>
      <c r="I33" s="25"/>
      <c r="J33" s="25"/>
      <c r="K33" s="25"/>
    </row>
  </sheetData>
  <mergeCells count="7">
    <mergeCell ref="B7:K7"/>
    <mergeCell ref="B32:K32"/>
    <mergeCell ref="A2:K2"/>
    <mergeCell ref="A4:A5"/>
    <mergeCell ref="B4:B5"/>
    <mergeCell ref="C4:D4"/>
    <mergeCell ref="E4:K4"/>
  </mergeCells>
  <printOptions horizontalCentered="1"/>
  <pageMargins left="1.1811023622047245" right="0.39370078740157483" top="0.78740157480314965" bottom="0.78740157480314965" header="0.31496062992125984" footer="0.51181102362204722"/>
  <pageSetup paperSize="9" scale="70" firstPageNumber="57" orientation="portrait" useFirstPageNumber="1" horizontalDpi="300" verticalDpi="300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A32"/>
  <sheetViews>
    <sheetView tabSelected="1" view="pageBreakPreview" topLeftCell="A14" zoomScale="80" zoomScalePageLayoutView="80" workbookViewId="0">
      <selection activeCell="B14" sqref="B14:N14"/>
    </sheetView>
  </sheetViews>
  <sheetFormatPr defaultColWidth="9.140625" defaultRowHeight="15"/>
  <cols>
    <col min="1" max="1" width="7.85546875" style="57" customWidth="1"/>
    <col min="2" max="2" width="33.42578125" style="57" customWidth="1"/>
    <col min="3" max="3" width="15.28515625" style="57" customWidth="1"/>
    <col min="4" max="4" width="12.28515625" style="57" customWidth="1"/>
    <col min="5" max="5" width="9.5703125" style="57" customWidth="1"/>
    <col min="6" max="6" width="7.85546875" style="57" customWidth="1"/>
    <col min="7" max="7" width="8.42578125" style="57" customWidth="1"/>
    <col min="8" max="8" width="8.5703125" style="57" customWidth="1"/>
    <col min="9" max="12" width="9.140625" style="57"/>
    <col min="13" max="13" width="7.7109375" style="57" customWidth="1"/>
    <col min="14" max="14" width="49.85546875" style="57" customWidth="1"/>
    <col min="15" max="16384" width="9.140625" style="57"/>
  </cols>
  <sheetData>
    <row r="1" spans="1:23" s="27" customFormat="1" ht="15.75">
      <c r="A1" s="2" t="str">
        <f>HYPERLINK("#Оглавление!A1","Назад в оглавление")</f>
        <v>Назад в оглавление</v>
      </c>
      <c r="B1" s="58"/>
    </row>
    <row r="2" spans="1:23" ht="26.25" customHeight="1">
      <c r="A2" s="143" t="s">
        <v>100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23" ht="17.2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</row>
    <row r="4" spans="1:23" ht="43.5" customHeight="1">
      <c r="A4" s="145" t="s">
        <v>3</v>
      </c>
      <c r="B4" s="145" t="s">
        <v>101</v>
      </c>
      <c r="C4" s="145" t="s">
        <v>102</v>
      </c>
      <c r="D4" s="145" t="s">
        <v>7</v>
      </c>
      <c r="E4" s="145" t="s">
        <v>8</v>
      </c>
      <c r="F4" s="145"/>
      <c r="G4" s="145" t="s">
        <v>103</v>
      </c>
      <c r="H4" s="145"/>
      <c r="I4" s="145"/>
      <c r="J4" s="145"/>
      <c r="K4" s="145"/>
      <c r="L4" s="145"/>
      <c r="M4" s="145"/>
      <c r="N4" s="145" t="s">
        <v>104</v>
      </c>
    </row>
    <row r="5" spans="1:23" ht="39.75" customHeight="1">
      <c r="A5" s="145"/>
      <c r="B5" s="145"/>
      <c r="C5" s="145"/>
      <c r="D5" s="145"/>
      <c r="E5" s="112" t="s">
        <v>215</v>
      </c>
      <c r="F5" s="9" t="s">
        <v>68</v>
      </c>
      <c r="G5" s="9">
        <v>2024</v>
      </c>
      <c r="H5" s="9">
        <v>2025</v>
      </c>
      <c r="I5" s="9">
        <v>2026</v>
      </c>
      <c r="J5" s="9">
        <v>2027</v>
      </c>
      <c r="K5" s="9">
        <v>2028</v>
      </c>
      <c r="L5" s="9">
        <v>2029</v>
      </c>
      <c r="M5" s="9">
        <v>2030</v>
      </c>
      <c r="N5" s="145"/>
    </row>
    <row r="6" spans="1:23" ht="16.5" customHeight="1">
      <c r="A6" s="60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</row>
    <row r="7" spans="1:23" ht="28.5" customHeight="1">
      <c r="A7" s="60" t="s">
        <v>15</v>
      </c>
      <c r="B7" s="161" t="s">
        <v>105</v>
      </c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</row>
    <row r="8" spans="1:23" ht="111" customHeight="1">
      <c r="A8" s="61" t="s">
        <v>17</v>
      </c>
      <c r="B8" s="113" t="s">
        <v>217</v>
      </c>
      <c r="C8" s="62" t="s">
        <v>107</v>
      </c>
      <c r="D8" s="21" t="s">
        <v>21</v>
      </c>
      <c r="E8" s="63">
        <v>6339.9</v>
      </c>
      <c r="F8" s="21">
        <v>2022</v>
      </c>
      <c r="G8" s="63">
        <v>6359</v>
      </c>
      <c r="H8" s="63">
        <v>6357.268</v>
      </c>
      <c r="I8" s="63">
        <v>6357.268</v>
      </c>
      <c r="J8" s="63">
        <v>6357.268</v>
      </c>
      <c r="K8" s="63">
        <v>6357.268</v>
      </c>
      <c r="L8" s="63">
        <v>6357.268</v>
      </c>
      <c r="M8" s="63">
        <v>6357.268</v>
      </c>
      <c r="N8" s="62" t="s">
        <v>206</v>
      </c>
      <c r="T8" s="57" t="s">
        <v>14</v>
      </c>
      <c r="V8" s="57" t="s">
        <v>108</v>
      </c>
    </row>
    <row r="9" spans="1:23" ht="25.5" customHeight="1">
      <c r="A9" s="11" t="s">
        <v>109</v>
      </c>
      <c r="B9" s="153" t="s">
        <v>110</v>
      </c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</row>
    <row r="10" spans="1:23" ht="102.75" customHeight="1">
      <c r="A10" s="11" t="s">
        <v>27</v>
      </c>
      <c r="B10" s="64" t="s">
        <v>111</v>
      </c>
      <c r="C10" s="62" t="s">
        <v>107</v>
      </c>
      <c r="D10" s="21" t="s">
        <v>21</v>
      </c>
      <c r="E10" s="65">
        <v>88</v>
      </c>
      <c r="F10" s="21">
        <v>2022</v>
      </c>
      <c r="G10" s="63">
        <f>57.7-1.6</f>
        <v>56.1</v>
      </c>
      <c r="H10" s="63">
        <v>58.9</v>
      </c>
      <c r="I10" s="63">
        <v>24.5</v>
      </c>
      <c r="J10" s="63">
        <v>45</v>
      </c>
      <c r="K10" s="63">
        <v>50</v>
      </c>
      <c r="L10" s="63">
        <v>55</v>
      </c>
      <c r="M10" s="63">
        <v>60</v>
      </c>
      <c r="N10" s="62" t="s">
        <v>112</v>
      </c>
      <c r="O10" s="66">
        <f>SUM(G10:M10)</f>
        <v>349.5</v>
      </c>
      <c r="R10" s="57" t="s">
        <v>50</v>
      </c>
      <c r="S10" s="57" t="s">
        <v>50</v>
      </c>
      <c r="T10" s="57" t="s">
        <v>108</v>
      </c>
      <c r="V10" s="57" t="s">
        <v>50</v>
      </c>
      <c r="W10" s="57" t="s">
        <v>108</v>
      </c>
    </row>
    <row r="11" spans="1:23" ht="36.75" customHeight="1">
      <c r="A11" s="11" t="s">
        <v>113</v>
      </c>
      <c r="B11" s="153" t="s">
        <v>114</v>
      </c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</row>
    <row r="12" spans="1:23" ht="102" customHeight="1">
      <c r="A12" s="157" t="s">
        <v>29</v>
      </c>
      <c r="B12" s="113" t="s">
        <v>216</v>
      </c>
      <c r="C12" s="159" t="s">
        <v>116</v>
      </c>
      <c r="D12" s="21" t="s">
        <v>21</v>
      </c>
      <c r="E12" s="11">
        <v>285.8</v>
      </c>
      <c r="F12" s="21">
        <v>2022</v>
      </c>
      <c r="G12" s="63">
        <v>106.8717</v>
      </c>
      <c r="H12" s="63">
        <v>99.292000000000016</v>
      </c>
      <c r="I12" s="107">
        <v>98.5</v>
      </c>
      <c r="J12" s="11" t="s">
        <v>35</v>
      </c>
      <c r="K12" s="11" t="s">
        <v>35</v>
      </c>
      <c r="L12" s="11" t="s">
        <v>35</v>
      </c>
      <c r="M12" s="11" t="s">
        <v>35</v>
      </c>
      <c r="N12" s="159" t="s">
        <v>117</v>
      </c>
      <c r="O12" s="66">
        <f>SUM(G12:H12)</f>
        <v>206.16370000000001</v>
      </c>
      <c r="T12" s="57" t="s">
        <v>50</v>
      </c>
      <c r="U12" s="57" t="s">
        <v>108</v>
      </c>
    </row>
    <row r="13" spans="1:23" ht="54.75" hidden="1" customHeight="1">
      <c r="A13" s="158"/>
      <c r="B13" s="113"/>
      <c r="C13" s="160"/>
      <c r="D13" s="103" t="s">
        <v>119</v>
      </c>
      <c r="E13" s="103">
        <v>2</v>
      </c>
      <c r="F13" s="104">
        <v>2022</v>
      </c>
      <c r="G13" s="103" t="s">
        <v>35</v>
      </c>
      <c r="H13" s="103">
        <v>2</v>
      </c>
      <c r="I13" s="103">
        <v>1</v>
      </c>
      <c r="J13" s="103" t="s">
        <v>35</v>
      </c>
      <c r="K13" s="103" t="s">
        <v>35</v>
      </c>
      <c r="L13" s="103" t="s">
        <v>35</v>
      </c>
      <c r="M13" s="103" t="s">
        <v>35</v>
      </c>
      <c r="N13" s="160"/>
      <c r="O13" s="105" t="s">
        <v>211</v>
      </c>
    </row>
    <row r="14" spans="1:23" ht="81.75" customHeight="1">
      <c r="A14" s="11" t="s">
        <v>118</v>
      </c>
      <c r="B14" s="154" t="s">
        <v>245</v>
      </c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6"/>
    </row>
    <row r="15" spans="1:23" ht="99" customHeight="1">
      <c r="A15" s="11" t="s">
        <v>32</v>
      </c>
      <c r="B15" s="64" t="s">
        <v>203</v>
      </c>
      <c r="C15" s="62" t="s">
        <v>107</v>
      </c>
      <c r="D15" s="11" t="s">
        <v>119</v>
      </c>
      <c r="E15" s="11">
        <v>9</v>
      </c>
      <c r="F15" s="21">
        <v>2022</v>
      </c>
      <c r="G15" s="65" t="s">
        <v>35</v>
      </c>
      <c r="H15" s="65" t="s">
        <v>35</v>
      </c>
      <c r="I15" s="11">
        <v>6</v>
      </c>
      <c r="J15" s="11">
        <v>3</v>
      </c>
      <c r="K15" s="11">
        <v>7</v>
      </c>
      <c r="L15" s="11">
        <v>1</v>
      </c>
      <c r="M15" s="11">
        <v>1</v>
      </c>
      <c r="N15" s="62" t="s">
        <v>120</v>
      </c>
      <c r="P15" s="57" t="s">
        <v>14</v>
      </c>
    </row>
    <row r="16" spans="1:23" ht="26.25" customHeight="1">
      <c r="A16" s="11" t="s">
        <v>121</v>
      </c>
      <c r="B16" s="153" t="s">
        <v>204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</row>
    <row r="17" spans="1:27" ht="99.75" customHeight="1">
      <c r="A17" s="11" t="s">
        <v>37</v>
      </c>
      <c r="B17" s="64" t="s">
        <v>122</v>
      </c>
      <c r="C17" s="62" t="s">
        <v>107</v>
      </c>
      <c r="D17" s="21" t="s">
        <v>21</v>
      </c>
      <c r="E17" s="21" t="s">
        <v>41</v>
      </c>
      <c r="F17" s="21">
        <v>2022</v>
      </c>
      <c r="G17" s="11" t="s">
        <v>35</v>
      </c>
      <c r="H17" s="11">
        <v>1.5</v>
      </c>
      <c r="I17" s="11">
        <v>2.2999999999999998</v>
      </c>
      <c r="J17" s="11">
        <v>3.3</v>
      </c>
      <c r="K17" s="65">
        <v>3</v>
      </c>
      <c r="L17" s="65">
        <v>3</v>
      </c>
      <c r="M17" s="65">
        <v>3</v>
      </c>
      <c r="N17" s="62" t="s">
        <v>123</v>
      </c>
      <c r="O17" s="66">
        <f>SUM(K17:M17)</f>
        <v>9</v>
      </c>
    </row>
    <row r="18" spans="1:27" ht="36.75" customHeight="1">
      <c r="A18" s="11" t="s">
        <v>124</v>
      </c>
      <c r="B18" s="153" t="s">
        <v>205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</row>
    <row r="19" spans="1:27" ht="96" customHeight="1">
      <c r="A19" s="11" t="s">
        <v>39</v>
      </c>
      <c r="B19" s="64" t="s">
        <v>125</v>
      </c>
      <c r="C19" s="62" t="s">
        <v>107</v>
      </c>
      <c r="D19" s="21" t="s">
        <v>21</v>
      </c>
      <c r="E19" s="21">
        <v>3.1</v>
      </c>
      <c r="F19" s="21">
        <v>2022</v>
      </c>
      <c r="G19" s="11" t="s">
        <v>35</v>
      </c>
      <c r="H19" s="11">
        <v>1.8</v>
      </c>
      <c r="I19" s="11">
        <v>29.1</v>
      </c>
      <c r="J19" s="11">
        <v>51.8</v>
      </c>
      <c r="K19" s="65">
        <v>50</v>
      </c>
      <c r="L19" s="65">
        <v>50</v>
      </c>
      <c r="M19" s="65">
        <v>50</v>
      </c>
      <c r="N19" s="62" t="s">
        <v>123</v>
      </c>
      <c r="X19" s="57" t="s">
        <v>50</v>
      </c>
      <c r="AA19" s="57" t="s">
        <v>108</v>
      </c>
    </row>
    <row r="20" spans="1:27" ht="45" customHeight="1">
      <c r="A20" s="11" t="s">
        <v>126</v>
      </c>
      <c r="B20" s="153" t="s">
        <v>127</v>
      </c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</row>
    <row r="21" spans="1:27" ht="100.5" customHeight="1">
      <c r="A21" s="11" t="s">
        <v>42</v>
      </c>
      <c r="B21" s="64" t="s">
        <v>128</v>
      </c>
      <c r="C21" s="62" t="s">
        <v>129</v>
      </c>
      <c r="D21" s="114" t="s">
        <v>219</v>
      </c>
      <c r="E21" s="21" t="s">
        <v>41</v>
      </c>
      <c r="F21" s="21">
        <v>2022</v>
      </c>
      <c r="G21" s="67" t="s">
        <v>41</v>
      </c>
      <c r="H21" s="67" t="s">
        <v>41</v>
      </c>
      <c r="I21" s="11">
        <v>1</v>
      </c>
      <c r="J21" s="127">
        <v>1</v>
      </c>
      <c r="K21" s="67" t="s">
        <v>41</v>
      </c>
      <c r="L21" s="67" t="s">
        <v>41</v>
      </c>
      <c r="M21" s="67" t="s">
        <v>41</v>
      </c>
      <c r="N21" s="62" t="s">
        <v>123</v>
      </c>
    </row>
    <row r="22" spans="1:27" ht="39" customHeight="1">
      <c r="A22" s="11" t="s">
        <v>133</v>
      </c>
      <c r="B22" s="153" t="s">
        <v>218</v>
      </c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</row>
    <row r="23" spans="1:27" ht="98.25" customHeight="1">
      <c r="A23" s="11" t="s">
        <v>44</v>
      </c>
      <c r="B23" s="64" t="s">
        <v>131</v>
      </c>
      <c r="C23" s="62" t="s">
        <v>107</v>
      </c>
      <c r="D23" s="11" t="s">
        <v>119</v>
      </c>
      <c r="E23" s="11">
        <v>10</v>
      </c>
      <c r="F23" s="21">
        <v>2022</v>
      </c>
      <c r="G23" s="11">
        <v>10</v>
      </c>
      <c r="H23" s="11">
        <v>10</v>
      </c>
      <c r="I23" s="11">
        <v>10</v>
      </c>
      <c r="J23" s="11">
        <v>10</v>
      </c>
      <c r="K23" s="11">
        <v>10</v>
      </c>
      <c r="L23" s="11">
        <v>10</v>
      </c>
      <c r="M23" s="11">
        <v>10</v>
      </c>
      <c r="N23" s="62" t="s">
        <v>132</v>
      </c>
      <c r="O23" s="68"/>
      <c r="P23" s="68"/>
      <c r="Q23" s="68"/>
    </row>
    <row r="24" spans="1:27" ht="34.5" customHeight="1">
      <c r="A24" s="11" t="s">
        <v>130</v>
      </c>
      <c r="B24" s="153" t="s">
        <v>134</v>
      </c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55"/>
      <c r="P24" s="55"/>
      <c r="Q24" s="68"/>
    </row>
    <row r="25" spans="1:27">
      <c r="O25" s="68"/>
      <c r="P25" s="68"/>
      <c r="Q25" s="68"/>
    </row>
    <row r="32" spans="1:27">
      <c r="X32" s="57" t="s">
        <v>50</v>
      </c>
    </row>
  </sheetData>
  <mergeCells count="20">
    <mergeCell ref="A12:A13"/>
    <mergeCell ref="C12:C13"/>
    <mergeCell ref="N12:N13"/>
    <mergeCell ref="A2:N2"/>
    <mergeCell ref="A4:A5"/>
    <mergeCell ref="B4:B5"/>
    <mergeCell ref="C4:C5"/>
    <mergeCell ref="D4:D5"/>
    <mergeCell ref="E4:F4"/>
    <mergeCell ref="G4:M4"/>
    <mergeCell ref="N4:N5"/>
    <mergeCell ref="B7:N7"/>
    <mergeCell ref="B9:N9"/>
    <mergeCell ref="B11:N11"/>
    <mergeCell ref="B24:N24"/>
    <mergeCell ref="B14:N14"/>
    <mergeCell ref="B16:N16"/>
    <mergeCell ref="B18:N18"/>
    <mergeCell ref="B20:N20"/>
    <mergeCell ref="B22:N22"/>
  </mergeCells>
  <printOptions horizontalCentered="1"/>
  <pageMargins left="0.39370078740157483" right="0.39370078740157483" top="0.98425196850393704" bottom="0.39370078740157483" header="0.31496062992125984" footer="0.51181102362204722"/>
  <pageSetup paperSize="9" scale="70" firstPageNumber="58" orientation="landscape" useFirstPageNumber="1" horizontalDpi="300" verticalDpi="300" r:id="rId1"/>
  <headerFooter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X155"/>
  <sheetViews>
    <sheetView zoomScale="90" zoomScaleNormal="90" zoomScaleSheetLayoutView="80" zoomScalePageLayoutView="80" workbookViewId="0">
      <pane xSplit="3" ySplit="45" topLeftCell="D94" activePane="bottomRight" state="frozen"/>
      <selection pane="topRight" activeCell="D1" sqref="D1"/>
      <selection pane="bottomLeft" activeCell="A46" sqref="A46"/>
      <selection pane="bottomRight" activeCell="C135" sqref="C135"/>
    </sheetView>
  </sheetViews>
  <sheetFormatPr defaultColWidth="9.140625" defaultRowHeight="15"/>
  <cols>
    <col min="1" max="1" width="7.7109375" style="57" customWidth="1"/>
    <col min="2" max="2" width="37.140625" style="57" hidden="1" customWidth="1"/>
    <col min="3" max="3" width="64.42578125" style="57" customWidth="1"/>
    <col min="4" max="4" width="6" style="57" customWidth="1"/>
    <col min="5" max="5" width="8.42578125" style="57" customWidth="1"/>
    <col min="6" max="6" width="15.85546875" style="57" customWidth="1"/>
    <col min="7" max="7" width="5.7109375" style="57" customWidth="1"/>
    <col min="8" max="8" width="13" style="57" customWidth="1"/>
    <col min="9" max="9" width="12.28515625" style="57" customWidth="1"/>
    <col min="10" max="10" width="13.140625" style="57" customWidth="1"/>
    <col min="11" max="11" width="12.7109375" style="57" customWidth="1"/>
    <col min="12" max="12" width="14.42578125" style="57" customWidth="1"/>
    <col min="13" max="13" width="13" style="57" customWidth="1"/>
    <col min="14" max="14" width="13.140625" style="57" customWidth="1"/>
    <col min="15" max="15" width="15.140625" style="57" customWidth="1"/>
    <col min="16" max="16" width="12.42578125" style="57" customWidth="1"/>
    <col min="17" max="17" width="13.85546875" style="57" customWidth="1"/>
    <col min="18" max="18" width="9.140625" style="57"/>
    <col min="19" max="20" width="11.42578125" style="57" customWidth="1"/>
    <col min="21" max="21" width="12.42578125" style="57" customWidth="1"/>
    <col min="22" max="22" width="11.42578125" style="57" customWidth="1"/>
    <col min="23" max="23" width="12.42578125" style="57" customWidth="1"/>
    <col min="24" max="24" width="11.42578125" style="57" customWidth="1"/>
    <col min="25" max="16384" width="9.140625" style="57"/>
  </cols>
  <sheetData>
    <row r="1" spans="1:19" s="27" customFormat="1" ht="15.75">
      <c r="A1" s="2" t="str">
        <f>HYPERLINK("#Оглавление!A1","Назад в оглавление")</f>
        <v>Назад в оглавление</v>
      </c>
    </row>
    <row r="2" spans="1:19" ht="18.75">
      <c r="A2" s="148" t="s">
        <v>135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7"/>
      <c r="Q2" s="7"/>
      <c r="R2" s="7"/>
      <c r="S2" s="7"/>
    </row>
    <row r="3" spans="1:19" ht="21.75" hidden="1" customHeight="1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7"/>
      <c r="Q3" s="7"/>
      <c r="R3" s="7"/>
      <c r="S3" s="7"/>
    </row>
    <row r="4" spans="1:19" ht="25.5" hidden="1" customHeight="1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2" t="s">
        <v>136</v>
      </c>
    </row>
    <row r="5" spans="1:19" ht="24" hidden="1" customHeight="1">
      <c r="A5" s="139" t="s">
        <v>3</v>
      </c>
      <c r="B5" s="139" t="s">
        <v>101</v>
      </c>
      <c r="C5" s="139" t="s">
        <v>137</v>
      </c>
      <c r="D5" s="139" t="s">
        <v>138</v>
      </c>
      <c r="E5" s="139"/>
      <c r="F5" s="139"/>
      <c r="G5" s="139"/>
      <c r="H5" s="139" t="s">
        <v>139</v>
      </c>
      <c r="I5" s="139"/>
      <c r="J5" s="139"/>
      <c r="K5" s="139"/>
      <c r="L5" s="139"/>
      <c r="M5" s="139"/>
      <c r="N5" s="139"/>
      <c r="O5" s="139"/>
    </row>
    <row r="6" spans="1:19" ht="24.75" hidden="1" customHeight="1">
      <c r="A6" s="139"/>
      <c r="B6" s="139"/>
      <c r="C6" s="139"/>
      <c r="D6" s="157" t="s">
        <v>140</v>
      </c>
      <c r="E6" s="157"/>
      <c r="F6" s="157"/>
      <c r="G6" s="157"/>
      <c r="H6" s="11">
        <v>2024</v>
      </c>
      <c r="I6" s="11">
        <v>2025</v>
      </c>
      <c r="J6" s="11">
        <v>2026</v>
      </c>
      <c r="K6" s="11">
        <v>2027</v>
      </c>
      <c r="L6" s="11">
        <v>2028</v>
      </c>
      <c r="M6" s="11">
        <v>2029</v>
      </c>
      <c r="N6" s="11">
        <v>2030</v>
      </c>
      <c r="O6" s="11" t="s">
        <v>141</v>
      </c>
    </row>
    <row r="7" spans="1:19" ht="20.25" hidden="1" customHeight="1">
      <c r="A7" s="11">
        <v>1</v>
      </c>
      <c r="B7" s="11">
        <v>2</v>
      </c>
      <c r="C7" s="11">
        <v>3</v>
      </c>
      <c r="D7" s="11"/>
      <c r="E7" s="11"/>
      <c r="F7" s="11"/>
      <c r="G7" s="11"/>
      <c r="H7" s="11">
        <v>4</v>
      </c>
      <c r="I7" s="11">
        <v>5</v>
      </c>
      <c r="J7" s="11">
        <v>6</v>
      </c>
      <c r="K7" s="11">
        <v>7</v>
      </c>
      <c r="L7" s="11">
        <v>8</v>
      </c>
      <c r="M7" s="11">
        <v>9</v>
      </c>
      <c r="N7" s="73">
        <v>10</v>
      </c>
      <c r="O7" s="11">
        <v>11</v>
      </c>
    </row>
    <row r="8" spans="1:19" ht="24" hidden="1" customHeight="1">
      <c r="A8" s="139"/>
      <c r="B8" s="153" t="s">
        <v>142</v>
      </c>
      <c r="C8" s="74" t="s">
        <v>143</v>
      </c>
      <c r="D8" s="74"/>
      <c r="E8" s="74"/>
      <c r="F8" s="74"/>
      <c r="G8" s="74"/>
      <c r="H8" s="63">
        <f>H12+H17+H20+H24+H27+H31+H34+H38</f>
        <v>6728563.0000000009</v>
      </c>
      <c r="I8" s="63">
        <f>I12+I17+I20+I24+I27+I31+I34+I38+I37</f>
        <v>9278754.1999999993</v>
      </c>
      <c r="J8" s="63">
        <f>J12+J17+J20+J24+J27+J31+J34+J38</f>
        <v>12005706.5</v>
      </c>
      <c r="K8" s="63">
        <f>K12+K17+K20+K24+K27+K31+K34+K38</f>
        <v>11605000</v>
      </c>
      <c r="L8" s="63">
        <f>L12+L17+L20+L24+L27+L31+L34+L38</f>
        <v>12105000</v>
      </c>
      <c r="M8" s="63">
        <f>M12+M17+M20+M24+M27+M31+M34+M38</f>
        <v>12405000</v>
      </c>
      <c r="N8" s="75">
        <f>N12+N17+N20+N24+N27+N31+N34+N38</f>
        <v>12705000</v>
      </c>
      <c r="O8" s="63">
        <f t="shared" ref="O8:O16" si="0">SUM(H8:N8)</f>
        <v>76833023.700000003</v>
      </c>
      <c r="S8" s="76">
        <f>I10-I8</f>
        <v>0</v>
      </c>
    </row>
    <row r="9" spans="1:19" ht="28.5" hidden="1" customHeight="1">
      <c r="A9" s="139"/>
      <c r="B9" s="153"/>
      <c r="C9" s="74" t="s">
        <v>144</v>
      </c>
      <c r="D9" s="74"/>
      <c r="E9" s="74"/>
      <c r="F9" s="74"/>
      <c r="G9" s="74"/>
      <c r="H9" s="63">
        <f t="shared" ref="H9:N9" si="1">H13+H18+H25+H32</f>
        <v>0</v>
      </c>
      <c r="I9" s="63">
        <f t="shared" si="1"/>
        <v>0</v>
      </c>
      <c r="J9" s="63">
        <f t="shared" si="1"/>
        <v>0</v>
      </c>
      <c r="K9" s="63">
        <f t="shared" si="1"/>
        <v>0</v>
      </c>
      <c r="L9" s="63">
        <f t="shared" si="1"/>
        <v>0</v>
      </c>
      <c r="M9" s="63">
        <f t="shared" si="1"/>
        <v>0</v>
      </c>
      <c r="N9" s="75">
        <f t="shared" si="1"/>
        <v>0</v>
      </c>
      <c r="O9" s="63">
        <f t="shared" si="0"/>
        <v>0</v>
      </c>
    </row>
    <row r="10" spans="1:19" ht="24" hidden="1" customHeight="1">
      <c r="A10" s="139"/>
      <c r="B10" s="153"/>
      <c r="C10" s="74" t="s">
        <v>145</v>
      </c>
      <c r="D10" s="74"/>
      <c r="E10" s="74"/>
      <c r="F10" s="74"/>
      <c r="G10" s="74"/>
      <c r="H10" s="63">
        <f>H12+H19+H22+H26+H29+H33+H35+H39</f>
        <v>6635000.5000000009</v>
      </c>
      <c r="I10" s="63">
        <f>I12+I19+I22+I26+I29+I33+I35+I39+I37</f>
        <v>9278754.1999999993</v>
      </c>
      <c r="J10" s="63">
        <f>J12+J19+J22+J26+J29+J33+J35+J39</f>
        <v>12005706.5</v>
      </c>
      <c r="K10" s="63">
        <f>K12+K19+K22+K26+K29+K33+K35+K39</f>
        <v>11605000</v>
      </c>
      <c r="L10" s="63">
        <f>L12+L19+L22+L26+L29+L33+L35+L39</f>
        <v>12105000</v>
      </c>
      <c r="M10" s="63">
        <f>M12+M19+M22+M26+M29+M33+M35+M39</f>
        <v>12405000</v>
      </c>
      <c r="N10" s="75">
        <f>N12+N19+N22+N26+N29+N33+N35+N39</f>
        <v>12705000</v>
      </c>
      <c r="O10" s="63">
        <f t="shared" si="0"/>
        <v>76739461.200000003</v>
      </c>
    </row>
    <row r="11" spans="1:19" ht="36" hidden="1" customHeight="1">
      <c r="A11" s="139"/>
      <c r="B11" s="153"/>
      <c r="C11" s="74" t="s">
        <v>146</v>
      </c>
      <c r="D11" s="74"/>
      <c r="E11" s="74"/>
      <c r="F11" s="74"/>
      <c r="G11" s="74"/>
      <c r="H11" s="63">
        <f t="shared" ref="H11:N11" si="2">H23+H30</f>
        <v>93562.5</v>
      </c>
      <c r="I11" s="63">
        <f t="shared" si="2"/>
        <v>0</v>
      </c>
      <c r="J11" s="63">
        <f t="shared" si="2"/>
        <v>0</v>
      </c>
      <c r="K11" s="63">
        <f t="shared" si="2"/>
        <v>0</v>
      </c>
      <c r="L11" s="63">
        <f t="shared" si="2"/>
        <v>0</v>
      </c>
      <c r="M11" s="63">
        <f t="shared" si="2"/>
        <v>0</v>
      </c>
      <c r="N11" s="75">
        <f t="shared" si="2"/>
        <v>0</v>
      </c>
      <c r="O11" s="63">
        <f t="shared" si="0"/>
        <v>93562.5</v>
      </c>
    </row>
    <row r="12" spans="1:19" ht="24" hidden="1" customHeight="1">
      <c r="A12" s="11" t="s">
        <v>15</v>
      </c>
      <c r="B12" s="170" t="s">
        <v>106</v>
      </c>
      <c r="C12" s="74" t="s">
        <v>143</v>
      </c>
      <c r="D12" s="74"/>
      <c r="E12" s="74"/>
      <c r="F12" s="74"/>
      <c r="G12" s="74"/>
      <c r="H12" s="63">
        <f t="shared" ref="H12:N12" si="3">SUM(H14:H16)</f>
        <v>4004310</v>
      </c>
      <c r="I12" s="63">
        <f t="shared" si="3"/>
        <v>4174000</v>
      </c>
      <c r="J12" s="63">
        <f t="shared" si="3"/>
        <v>4300000</v>
      </c>
      <c r="K12" s="63">
        <f t="shared" si="3"/>
        <v>4400000</v>
      </c>
      <c r="L12" s="63">
        <f t="shared" si="3"/>
        <v>4600000</v>
      </c>
      <c r="M12" s="63">
        <f t="shared" si="3"/>
        <v>4800000</v>
      </c>
      <c r="N12" s="75">
        <f t="shared" si="3"/>
        <v>5000000</v>
      </c>
      <c r="O12" s="63">
        <f t="shared" si="0"/>
        <v>31278310</v>
      </c>
    </row>
    <row r="13" spans="1:19" ht="24" hidden="1" customHeight="1">
      <c r="A13" s="11" t="s">
        <v>17</v>
      </c>
      <c r="B13" s="170"/>
      <c r="C13" s="74" t="s">
        <v>144</v>
      </c>
      <c r="D13" s="74"/>
      <c r="E13" s="74"/>
      <c r="F13" s="74"/>
      <c r="G13" s="74"/>
      <c r="H13" s="11"/>
      <c r="I13" s="73"/>
      <c r="J13" s="11"/>
      <c r="K13" s="11"/>
      <c r="L13" s="11"/>
      <c r="M13" s="11"/>
      <c r="N13" s="73"/>
      <c r="O13" s="11">
        <f t="shared" si="0"/>
        <v>0</v>
      </c>
    </row>
    <row r="14" spans="1:19" ht="23.25" hidden="1" customHeight="1">
      <c r="A14" s="157" t="s">
        <v>17</v>
      </c>
      <c r="B14" s="170"/>
      <c r="C14" s="74" t="s">
        <v>145</v>
      </c>
      <c r="D14" s="77">
        <v>828</v>
      </c>
      <c r="E14" s="77" t="s">
        <v>147</v>
      </c>
      <c r="F14" s="77" t="s">
        <v>148</v>
      </c>
      <c r="G14" s="77">
        <v>200</v>
      </c>
      <c r="H14" s="78">
        <f>4004310-H15-H16</f>
        <v>3843964.8</v>
      </c>
      <c r="I14" s="78">
        <f>4200000-I15-I16-26000</f>
        <v>4008893.6</v>
      </c>
      <c r="J14" s="78">
        <f>4300000-J15-J16</f>
        <v>4130098.6</v>
      </c>
      <c r="K14" s="78">
        <f>4400000-K15-K16</f>
        <v>4207842.5999999996</v>
      </c>
      <c r="L14" s="78">
        <f>4600000-L15-L16</f>
        <v>4407842.5999999996</v>
      </c>
      <c r="M14" s="78">
        <f>4800000-M15-M16</f>
        <v>4607842.5999999996</v>
      </c>
      <c r="N14" s="79">
        <f>5000000-N15-N16</f>
        <v>4807842.5999999996</v>
      </c>
      <c r="O14" s="63">
        <f t="shared" si="0"/>
        <v>30014327.399999999</v>
      </c>
    </row>
    <row r="15" spans="1:19" ht="23.25" hidden="1" customHeight="1">
      <c r="A15" s="157"/>
      <c r="B15" s="170"/>
      <c r="C15" s="74" t="s">
        <v>145</v>
      </c>
      <c r="D15" s="77">
        <v>828</v>
      </c>
      <c r="E15" s="77" t="s">
        <v>147</v>
      </c>
      <c r="F15" s="77" t="s">
        <v>148</v>
      </c>
      <c r="G15" s="77">
        <v>800</v>
      </c>
      <c r="H15" s="78">
        <v>5000</v>
      </c>
      <c r="I15" s="79">
        <v>5000</v>
      </c>
      <c r="J15" s="79">
        <v>5000</v>
      </c>
      <c r="K15" s="79">
        <v>5000</v>
      </c>
      <c r="L15" s="79">
        <v>5000</v>
      </c>
      <c r="M15" s="79">
        <v>5000</v>
      </c>
      <c r="N15" s="79">
        <v>5000</v>
      </c>
      <c r="O15" s="63">
        <f t="shared" si="0"/>
        <v>35000</v>
      </c>
    </row>
    <row r="16" spans="1:19" ht="29.25" hidden="1" customHeight="1">
      <c r="A16" s="157"/>
      <c r="B16" s="170"/>
      <c r="C16" s="20" t="s">
        <v>149</v>
      </c>
      <c r="D16" s="77">
        <v>828</v>
      </c>
      <c r="E16" s="77" t="s">
        <v>147</v>
      </c>
      <c r="F16" s="77" t="s">
        <v>150</v>
      </c>
      <c r="G16" s="77">
        <v>200</v>
      </c>
      <c r="H16" s="79">
        <f>22404.4+132940.8</f>
        <v>155345.19999999998</v>
      </c>
      <c r="I16" s="79">
        <f>22404.4+137702</f>
        <v>160106.4</v>
      </c>
      <c r="J16" s="79">
        <f>22404.4+142497</f>
        <v>164901.4</v>
      </c>
      <c r="K16" s="79">
        <f>22404.4+164753</f>
        <v>187157.4</v>
      </c>
      <c r="L16" s="79">
        <f>22404.4+164753</f>
        <v>187157.4</v>
      </c>
      <c r="M16" s="79">
        <f>22404.4+164753</f>
        <v>187157.4</v>
      </c>
      <c r="N16" s="79">
        <f>22404.4+164753</f>
        <v>187157.4</v>
      </c>
      <c r="O16" s="63">
        <f t="shared" si="0"/>
        <v>1228982.6000000001</v>
      </c>
    </row>
    <row r="17" spans="1:24" ht="32.25" hidden="1" customHeight="1">
      <c r="A17" s="11">
        <v>2</v>
      </c>
      <c r="B17" s="153" t="s">
        <v>111</v>
      </c>
      <c r="C17" s="74" t="s">
        <v>143</v>
      </c>
      <c r="D17" s="74"/>
      <c r="E17" s="74"/>
      <c r="F17" s="74"/>
      <c r="G17" s="74"/>
      <c r="H17" s="63">
        <f t="shared" ref="H17:O17" si="4">SUM(H18:H19)</f>
        <v>1028864.4</v>
      </c>
      <c r="I17" s="75">
        <f t="shared" si="4"/>
        <v>4901932.3999999994</v>
      </c>
      <c r="J17" s="63">
        <f t="shared" si="4"/>
        <v>7600706.5</v>
      </c>
      <c r="K17" s="63">
        <f t="shared" si="4"/>
        <v>7000000</v>
      </c>
      <c r="L17" s="63">
        <f t="shared" si="4"/>
        <v>7100000</v>
      </c>
      <c r="M17" s="63">
        <f t="shared" si="4"/>
        <v>7200000</v>
      </c>
      <c r="N17" s="75">
        <f t="shared" si="4"/>
        <v>7300000</v>
      </c>
      <c r="O17" s="63">
        <f t="shared" si="4"/>
        <v>42131503.299999997</v>
      </c>
    </row>
    <row r="18" spans="1:24" ht="23.25" hidden="1" customHeight="1">
      <c r="A18" s="11" t="s">
        <v>151</v>
      </c>
      <c r="B18" s="153"/>
      <c r="C18" s="74" t="s">
        <v>144</v>
      </c>
      <c r="D18" s="74"/>
      <c r="E18" s="74"/>
      <c r="F18" s="74"/>
      <c r="G18" s="74"/>
      <c r="H18" s="11"/>
      <c r="I18" s="73"/>
      <c r="J18" s="11"/>
      <c r="K18" s="11"/>
      <c r="L18" s="11"/>
      <c r="M18" s="11"/>
      <c r="N18" s="73"/>
      <c r="O18" s="65">
        <f>SUM(H18:N18)</f>
        <v>0</v>
      </c>
    </row>
    <row r="19" spans="1:24" ht="27.75" hidden="1" customHeight="1">
      <c r="A19" s="11" t="s">
        <v>151</v>
      </c>
      <c r="B19" s="153"/>
      <c r="C19" s="74" t="s">
        <v>145</v>
      </c>
      <c r="D19" s="77">
        <v>828</v>
      </c>
      <c r="E19" s="77" t="s">
        <v>147</v>
      </c>
      <c r="F19" s="77" t="s">
        <v>148</v>
      </c>
      <c r="G19" s="77">
        <v>200</v>
      </c>
      <c r="H19" s="63">
        <v>1028864.4</v>
      </c>
      <c r="I19" s="79">
        <f>5073344.3-873.9-169908-630</f>
        <v>4901932.3999999994</v>
      </c>
      <c r="J19" s="78">
        <f>6406952+1193754.5</f>
        <v>7600706.5</v>
      </c>
      <c r="K19" s="78">
        <v>7000000</v>
      </c>
      <c r="L19" s="78">
        <v>7100000</v>
      </c>
      <c r="M19" s="78">
        <v>7200000</v>
      </c>
      <c r="N19" s="78">
        <v>7300000</v>
      </c>
      <c r="O19" s="63">
        <f>SUM(H19:N19)</f>
        <v>42131503.299999997</v>
      </c>
    </row>
    <row r="20" spans="1:24" ht="21.75" hidden="1" customHeight="1">
      <c r="A20" s="11" t="s">
        <v>152</v>
      </c>
      <c r="B20" s="153" t="s">
        <v>115</v>
      </c>
      <c r="C20" s="74" t="s">
        <v>143</v>
      </c>
      <c r="D20" s="74"/>
      <c r="E20" s="74"/>
      <c r="F20" s="74"/>
      <c r="G20" s="74"/>
      <c r="H20" s="63">
        <f t="shared" ref="H20:O20" si="5">SUM(H21:H23)</f>
        <v>1502852</v>
      </c>
      <c r="I20" s="63">
        <f t="shared" si="5"/>
        <v>0</v>
      </c>
      <c r="J20" s="63">
        <f t="shared" si="5"/>
        <v>0</v>
      </c>
      <c r="K20" s="63">
        <f t="shared" si="5"/>
        <v>0</v>
      </c>
      <c r="L20" s="63">
        <f t="shared" si="5"/>
        <v>0</v>
      </c>
      <c r="M20" s="63">
        <f t="shared" si="5"/>
        <v>0</v>
      </c>
      <c r="N20" s="75">
        <f t="shared" si="5"/>
        <v>0</v>
      </c>
      <c r="O20" s="63">
        <f t="shared" si="5"/>
        <v>1502852</v>
      </c>
      <c r="P20" s="80"/>
      <c r="Q20" s="80"/>
      <c r="R20" s="80"/>
      <c r="S20" s="80"/>
      <c r="T20" s="80"/>
      <c r="U20" s="80"/>
      <c r="V20" s="80"/>
      <c r="W20" s="68"/>
      <c r="X20" s="68"/>
    </row>
    <row r="21" spans="1:24" ht="22.5" hidden="1" customHeight="1">
      <c r="A21" s="11" t="s">
        <v>153</v>
      </c>
      <c r="B21" s="153"/>
      <c r="C21" s="74" t="s">
        <v>144</v>
      </c>
      <c r="D21" s="74"/>
      <c r="E21" s="74"/>
      <c r="F21" s="74"/>
      <c r="G21" s="74"/>
      <c r="H21" s="11"/>
      <c r="I21" s="11"/>
      <c r="J21" s="11"/>
      <c r="K21" s="11"/>
      <c r="L21" s="11"/>
      <c r="M21" s="11"/>
      <c r="N21" s="73"/>
      <c r="O21" s="65">
        <f>SUM(H21:N21)</f>
        <v>0</v>
      </c>
      <c r="P21" s="68"/>
      <c r="Q21" s="68"/>
      <c r="R21" s="68"/>
      <c r="S21" s="68"/>
      <c r="T21" s="68"/>
      <c r="U21" s="68"/>
      <c r="V21" s="68"/>
      <c r="W21" s="68"/>
      <c r="X21" s="68"/>
    </row>
    <row r="22" spans="1:24" ht="24" hidden="1" customHeight="1">
      <c r="A22" s="11" t="s">
        <v>153</v>
      </c>
      <c r="B22" s="153"/>
      <c r="C22" s="74" t="s">
        <v>145</v>
      </c>
      <c r="D22" s="77">
        <v>828</v>
      </c>
      <c r="E22" s="77" t="s">
        <v>147</v>
      </c>
      <c r="F22" s="77" t="s">
        <v>154</v>
      </c>
      <c r="G22" s="81">
        <v>500</v>
      </c>
      <c r="H22" s="78">
        <f>1452289.5-H29</f>
        <v>1411869.5</v>
      </c>
      <c r="I22" s="11"/>
      <c r="J22" s="78"/>
      <c r="K22" s="78"/>
      <c r="L22" s="78"/>
      <c r="M22" s="78"/>
      <c r="N22" s="79"/>
      <c r="O22" s="63">
        <f>SUM(H22:N22)</f>
        <v>1411869.5</v>
      </c>
      <c r="P22" s="68"/>
      <c r="Q22" s="68"/>
      <c r="R22" s="68"/>
      <c r="S22" s="68"/>
      <c r="T22" s="68"/>
      <c r="U22" s="68"/>
      <c r="V22" s="68"/>
      <c r="W22" s="68"/>
      <c r="X22" s="68"/>
    </row>
    <row r="23" spans="1:24" ht="33.75" hidden="1" customHeight="1">
      <c r="A23" s="11" t="s">
        <v>155</v>
      </c>
      <c r="B23" s="153"/>
      <c r="C23" s="74" t="s">
        <v>146</v>
      </c>
      <c r="D23" s="74"/>
      <c r="E23" s="74"/>
      <c r="F23" s="74"/>
      <c r="G23" s="74"/>
      <c r="H23" s="78">
        <f>93562.5-H30</f>
        <v>90982.5</v>
      </c>
      <c r="I23" s="11"/>
      <c r="J23" s="78"/>
      <c r="K23" s="78"/>
      <c r="L23" s="78"/>
      <c r="M23" s="78"/>
      <c r="N23" s="79"/>
      <c r="O23" s="63">
        <f>SUM(H23:N23)</f>
        <v>90982.5</v>
      </c>
      <c r="P23" s="68"/>
      <c r="Q23" s="68"/>
      <c r="R23" s="68"/>
      <c r="S23" s="68"/>
      <c r="T23" s="68"/>
      <c r="U23" s="68"/>
      <c r="V23" s="68"/>
      <c r="W23" s="68"/>
      <c r="X23" s="68"/>
    </row>
    <row r="24" spans="1:24" ht="23.25" hidden="1" customHeight="1">
      <c r="A24" s="11" t="s">
        <v>156</v>
      </c>
      <c r="B24" s="153" t="s">
        <v>157</v>
      </c>
      <c r="C24" s="74" t="s">
        <v>143</v>
      </c>
      <c r="D24" s="74"/>
      <c r="E24" s="74"/>
      <c r="F24" s="74"/>
      <c r="G24" s="74"/>
      <c r="H24" s="63">
        <f t="shared" ref="H24:O24" si="6">SUM(H25:H26)</f>
        <v>0</v>
      </c>
      <c r="I24" s="63">
        <f t="shared" si="6"/>
        <v>0</v>
      </c>
      <c r="J24" s="63">
        <f t="shared" si="6"/>
        <v>0</v>
      </c>
      <c r="K24" s="63">
        <f t="shared" si="6"/>
        <v>100000</v>
      </c>
      <c r="L24" s="63">
        <f t="shared" si="6"/>
        <v>100000</v>
      </c>
      <c r="M24" s="63">
        <f t="shared" si="6"/>
        <v>100000</v>
      </c>
      <c r="N24" s="75">
        <f t="shared" si="6"/>
        <v>100000</v>
      </c>
      <c r="O24" s="63">
        <f t="shared" si="6"/>
        <v>400000</v>
      </c>
    </row>
    <row r="25" spans="1:24" ht="26.25" hidden="1" customHeight="1">
      <c r="A25" s="11" t="s">
        <v>158</v>
      </c>
      <c r="B25" s="153"/>
      <c r="C25" s="74" t="s">
        <v>144</v>
      </c>
      <c r="D25" s="74"/>
      <c r="E25" s="74"/>
      <c r="F25" s="74"/>
      <c r="G25" s="74"/>
      <c r="H25" s="11"/>
      <c r="I25" s="11"/>
      <c r="J25" s="11"/>
      <c r="K25" s="11"/>
      <c r="L25" s="11"/>
      <c r="M25" s="11"/>
      <c r="N25" s="73"/>
      <c r="O25" s="63">
        <f>SUM(H25:N25)</f>
        <v>0</v>
      </c>
    </row>
    <row r="26" spans="1:24" ht="28.5" hidden="1" customHeight="1">
      <c r="A26" s="11" t="s">
        <v>158</v>
      </c>
      <c r="B26" s="153"/>
      <c r="C26" s="74" t="s">
        <v>145</v>
      </c>
      <c r="D26" s="77">
        <v>828</v>
      </c>
      <c r="E26" s="77" t="s">
        <v>147</v>
      </c>
      <c r="F26" s="77" t="s">
        <v>148</v>
      </c>
      <c r="G26" s="77">
        <v>200</v>
      </c>
      <c r="H26" s="11"/>
      <c r="I26" s="11"/>
      <c r="J26" s="78"/>
      <c r="K26" s="78">
        <v>100000</v>
      </c>
      <c r="L26" s="78">
        <v>100000</v>
      </c>
      <c r="M26" s="78">
        <v>100000</v>
      </c>
      <c r="N26" s="79">
        <v>100000</v>
      </c>
      <c r="O26" s="63">
        <f>SUM(H26:N26)</f>
        <v>400000</v>
      </c>
    </row>
    <row r="27" spans="1:24" ht="35.25" hidden="1" customHeight="1">
      <c r="A27" s="11" t="s">
        <v>159</v>
      </c>
      <c r="B27" s="153" t="s">
        <v>160</v>
      </c>
      <c r="C27" s="74" t="s">
        <v>143</v>
      </c>
      <c r="D27" s="74"/>
      <c r="E27" s="74"/>
      <c r="F27" s="74"/>
      <c r="G27" s="74"/>
      <c r="H27" s="63">
        <f>SUM(H28:H30)</f>
        <v>43000</v>
      </c>
      <c r="I27" s="63">
        <f>SUM(I28:I30)</f>
        <v>0</v>
      </c>
      <c r="J27" s="63"/>
      <c r="K27" s="63"/>
      <c r="L27" s="63"/>
      <c r="M27" s="63"/>
      <c r="N27" s="75"/>
      <c r="O27" s="63">
        <f>SUM(O28:O30)</f>
        <v>43000</v>
      </c>
    </row>
    <row r="28" spans="1:24" ht="24.75" hidden="1" customHeight="1">
      <c r="A28" s="11" t="s">
        <v>161</v>
      </c>
      <c r="B28" s="153"/>
      <c r="C28" s="74" t="s">
        <v>144</v>
      </c>
      <c r="D28" s="74"/>
      <c r="E28" s="74"/>
      <c r="F28" s="74"/>
      <c r="G28" s="74"/>
      <c r="H28" s="11"/>
      <c r="I28" s="11"/>
      <c r="J28" s="11"/>
      <c r="K28" s="11"/>
      <c r="L28" s="11"/>
      <c r="M28" s="11"/>
      <c r="N28" s="73"/>
      <c r="O28" s="63">
        <f>SUM(H28:N28)</f>
        <v>0</v>
      </c>
    </row>
    <row r="29" spans="1:24" ht="25.5" hidden="1" customHeight="1">
      <c r="A29" s="11" t="s">
        <v>161</v>
      </c>
      <c r="B29" s="153"/>
      <c r="C29" s="74" t="s">
        <v>145</v>
      </c>
      <c r="D29" s="77">
        <v>828</v>
      </c>
      <c r="E29" s="77" t="s">
        <v>147</v>
      </c>
      <c r="F29" s="77" t="s">
        <v>154</v>
      </c>
      <c r="G29" s="81">
        <v>500</v>
      </c>
      <c r="H29" s="78">
        <f>43000*0.94</f>
        <v>40420</v>
      </c>
      <c r="I29" s="65">
        <v>0</v>
      </c>
      <c r="J29" s="78"/>
      <c r="K29" s="78"/>
      <c r="L29" s="78"/>
      <c r="M29" s="78"/>
      <c r="N29" s="79"/>
      <c r="O29" s="63">
        <f>SUM(H29:N29)</f>
        <v>40420</v>
      </c>
    </row>
    <row r="30" spans="1:24" ht="35.25" hidden="1" customHeight="1">
      <c r="A30" s="11" t="s">
        <v>162</v>
      </c>
      <c r="B30" s="153"/>
      <c r="C30" s="74" t="s">
        <v>146</v>
      </c>
      <c r="D30" s="74"/>
      <c r="E30" s="74"/>
      <c r="F30" s="74"/>
      <c r="G30" s="74"/>
      <c r="H30" s="78">
        <f>43000-H29</f>
        <v>2580</v>
      </c>
      <c r="I30" s="65">
        <v>0</v>
      </c>
      <c r="J30" s="78"/>
      <c r="K30" s="78"/>
      <c r="L30" s="78"/>
      <c r="M30" s="78"/>
      <c r="N30" s="79"/>
      <c r="O30" s="63">
        <f>SUM(H30:N30)</f>
        <v>2580</v>
      </c>
    </row>
    <row r="31" spans="1:24" ht="28.5" hidden="1" customHeight="1">
      <c r="A31" s="11" t="s">
        <v>163</v>
      </c>
      <c r="B31" s="153" t="s">
        <v>164</v>
      </c>
      <c r="C31" s="74" t="s">
        <v>143</v>
      </c>
      <c r="D31" s="74"/>
      <c r="E31" s="74"/>
      <c r="F31" s="74"/>
      <c r="G31" s="74"/>
      <c r="H31" s="63">
        <f>SUM(H32:H33)</f>
        <v>54842.9</v>
      </c>
      <c r="I31" s="63">
        <f>SUM(I32:I33)</f>
        <v>30821.8</v>
      </c>
      <c r="J31" s="63"/>
      <c r="K31" s="63"/>
      <c r="L31" s="63">
        <f>SUM(L32:L33)</f>
        <v>200000</v>
      </c>
      <c r="M31" s="63">
        <f>SUM(M32:M33)</f>
        <v>200000</v>
      </c>
      <c r="N31" s="75">
        <f>SUM(N32:N33)</f>
        <v>200000</v>
      </c>
      <c r="O31" s="63">
        <f>SUM(O32:O33)</f>
        <v>685664.7</v>
      </c>
    </row>
    <row r="32" spans="1:24" ht="18.75" hidden="1" customHeight="1">
      <c r="A32" s="11" t="s">
        <v>165</v>
      </c>
      <c r="B32" s="153"/>
      <c r="C32" s="74" t="s">
        <v>144</v>
      </c>
      <c r="D32" s="74"/>
      <c r="E32" s="74"/>
      <c r="F32" s="74"/>
      <c r="G32" s="74"/>
      <c r="H32" s="63"/>
      <c r="I32" s="11"/>
      <c r="J32" s="11"/>
      <c r="K32" s="11"/>
      <c r="L32" s="11"/>
      <c r="M32" s="11"/>
      <c r="N32" s="73"/>
      <c r="O32" s="63">
        <f>SUM(H32:N32)</f>
        <v>0</v>
      </c>
    </row>
    <row r="33" spans="1:24" ht="34.5" hidden="1" customHeight="1">
      <c r="A33" s="11" t="s">
        <v>165</v>
      </c>
      <c r="B33" s="153"/>
      <c r="C33" s="74" t="s">
        <v>145</v>
      </c>
      <c r="D33" s="77">
        <v>828</v>
      </c>
      <c r="E33" s="77" t="s">
        <v>147</v>
      </c>
      <c r="F33" s="77" t="s">
        <v>166</v>
      </c>
      <c r="G33" s="77">
        <v>200</v>
      </c>
      <c r="H33" s="78">
        <v>54842.9</v>
      </c>
      <c r="I33" s="63">
        <v>30821.8</v>
      </c>
      <c r="J33" s="78"/>
      <c r="K33" s="78"/>
      <c r="L33" s="78">
        <v>200000</v>
      </c>
      <c r="M33" s="78">
        <v>200000</v>
      </c>
      <c r="N33" s="79">
        <v>200000</v>
      </c>
      <c r="O33" s="63">
        <f>SUM(H33:N33)</f>
        <v>685664.7</v>
      </c>
    </row>
    <row r="34" spans="1:24" ht="24.75" hidden="1" customHeight="1">
      <c r="A34" s="11" t="s">
        <v>167</v>
      </c>
      <c r="B34" s="169" t="s">
        <v>168</v>
      </c>
      <c r="C34" s="74" t="s">
        <v>143</v>
      </c>
      <c r="D34" s="74"/>
      <c r="E34" s="74"/>
      <c r="F34" s="74"/>
      <c r="G34" s="74"/>
      <c r="H34" s="63">
        <f>H35</f>
        <v>42536.7</v>
      </c>
      <c r="I34" s="63"/>
      <c r="J34" s="63">
        <f t="shared" ref="J34:O34" si="7">J35</f>
        <v>50000</v>
      </c>
      <c r="K34" s="63">
        <f t="shared" si="7"/>
        <v>50000</v>
      </c>
      <c r="L34" s="63">
        <f t="shared" si="7"/>
        <v>50000</v>
      </c>
      <c r="M34" s="63">
        <f t="shared" si="7"/>
        <v>50000</v>
      </c>
      <c r="N34" s="75">
        <f t="shared" si="7"/>
        <v>50000</v>
      </c>
      <c r="O34" s="63">
        <f t="shared" si="7"/>
        <v>292536.7</v>
      </c>
    </row>
    <row r="35" spans="1:24" ht="27" hidden="1" customHeight="1">
      <c r="A35" s="11" t="s">
        <v>169</v>
      </c>
      <c r="B35" s="169"/>
      <c r="C35" s="74" t="s">
        <v>145</v>
      </c>
      <c r="D35" s="77">
        <v>828</v>
      </c>
      <c r="E35" s="77" t="s">
        <v>147</v>
      </c>
      <c r="F35" s="77" t="s">
        <v>166</v>
      </c>
      <c r="G35" s="77">
        <v>200</v>
      </c>
      <c r="H35" s="78">
        <f>42536.7</f>
        <v>42536.7</v>
      </c>
      <c r="I35" s="78"/>
      <c r="J35" s="78">
        <v>50000</v>
      </c>
      <c r="K35" s="78">
        <v>50000</v>
      </c>
      <c r="L35" s="78">
        <v>50000</v>
      </c>
      <c r="M35" s="78">
        <v>50000</v>
      </c>
      <c r="N35" s="79">
        <v>50000</v>
      </c>
      <c r="O35" s="63">
        <f>SUM(H35:N35)</f>
        <v>292536.7</v>
      </c>
    </row>
    <row r="36" spans="1:24" ht="27" hidden="1" customHeight="1">
      <c r="A36" s="11" t="s">
        <v>170</v>
      </c>
      <c r="B36" s="169" t="s">
        <v>128</v>
      </c>
      <c r="C36" s="74" t="s">
        <v>143</v>
      </c>
      <c r="D36" s="77"/>
      <c r="E36" s="77"/>
      <c r="F36" s="77"/>
      <c r="G36" s="77"/>
      <c r="H36" s="78"/>
      <c r="I36" s="78">
        <f>I37</f>
        <v>120000</v>
      </c>
      <c r="J36" s="78"/>
      <c r="K36" s="78"/>
      <c r="L36" s="78"/>
      <c r="M36" s="78"/>
      <c r="N36" s="79"/>
      <c r="O36" s="63">
        <f>SUM(H36:N36)</f>
        <v>120000</v>
      </c>
    </row>
    <row r="37" spans="1:24" ht="27" hidden="1" customHeight="1">
      <c r="A37" s="82" t="s">
        <v>171</v>
      </c>
      <c r="B37" s="169"/>
      <c r="C37" s="74" t="s">
        <v>145</v>
      </c>
      <c r="D37" s="77">
        <v>828</v>
      </c>
      <c r="E37" s="77" t="s">
        <v>147</v>
      </c>
      <c r="F37" s="77" t="s">
        <v>166</v>
      </c>
      <c r="G37" s="77">
        <v>200</v>
      </c>
      <c r="H37" s="78"/>
      <c r="I37" s="78">
        <v>120000</v>
      </c>
      <c r="J37" s="78"/>
      <c r="K37" s="78"/>
      <c r="L37" s="78"/>
      <c r="M37" s="78"/>
      <c r="N37" s="79"/>
      <c r="O37" s="63">
        <f>SUM(H37:N37)</f>
        <v>120000</v>
      </c>
    </row>
    <row r="38" spans="1:24" ht="28.5" hidden="1" customHeight="1">
      <c r="A38" s="11" t="s">
        <v>172</v>
      </c>
      <c r="B38" s="153" t="s">
        <v>173</v>
      </c>
      <c r="C38" s="74" t="s">
        <v>143</v>
      </c>
      <c r="D38" s="74"/>
      <c r="E38" s="74"/>
      <c r="F38" s="74"/>
      <c r="G38" s="74"/>
      <c r="H38" s="63">
        <f t="shared" ref="H38:N38" si="8">SUM(H39:H39)</f>
        <v>52157</v>
      </c>
      <c r="I38" s="63">
        <f t="shared" si="8"/>
        <v>52000</v>
      </c>
      <c r="J38" s="63">
        <f t="shared" si="8"/>
        <v>55000</v>
      </c>
      <c r="K38" s="63">
        <f t="shared" si="8"/>
        <v>55000</v>
      </c>
      <c r="L38" s="63">
        <f t="shared" si="8"/>
        <v>55000</v>
      </c>
      <c r="M38" s="63">
        <f t="shared" si="8"/>
        <v>55000</v>
      </c>
      <c r="N38" s="75">
        <f t="shared" si="8"/>
        <v>55000</v>
      </c>
      <c r="O38" s="63">
        <f>SUM(H38:N38)</f>
        <v>379157</v>
      </c>
    </row>
    <row r="39" spans="1:24" ht="28.5" hidden="1" customHeight="1">
      <c r="A39" s="11" t="s">
        <v>174</v>
      </c>
      <c r="B39" s="153"/>
      <c r="C39" s="74" t="s">
        <v>145</v>
      </c>
      <c r="D39" s="81">
        <v>828</v>
      </c>
      <c r="E39" s="81" t="s">
        <v>147</v>
      </c>
      <c r="F39" s="81" t="s">
        <v>148</v>
      </c>
      <c r="G39" s="81">
        <v>200</v>
      </c>
      <c r="H39" s="78">
        <f>35444+16713</f>
        <v>52157</v>
      </c>
      <c r="I39" s="79">
        <v>52000</v>
      </c>
      <c r="J39" s="79">
        <v>55000</v>
      </c>
      <c r="K39" s="79">
        <v>55000</v>
      </c>
      <c r="L39" s="78">
        <v>55000</v>
      </c>
      <c r="M39" s="78">
        <v>55000</v>
      </c>
      <c r="N39" s="79">
        <v>55000</v>
      </c>
      <c r="O39" s="63">
        <f>SUM(H39:N39)</f>
        <v>379157</v>
      </c>
    </row>
    <row r="40" spans="1:24" ht="28.5" hidden="1" customHeight="1">
      <c r="A40" s="83"/>
      <c r="B40" s="84"/>
      <c r="C40" s="85"/>
      <c r="D40" s="85"/>
      <c r="E40" s="85"/>
      <c r="F40" s="85"/>
      <c r="G40" s="85"/>
      <c r="H40" s="86"/>
      <c r="I40" s="87"/>
      <c r="J40" s="87"/>
      <c r="K40" s="87"/>
      <c r="L40" s="87"/>
      <c r="M40" s="87"/>
      <c r="N40" s="87"/>
      <c r="O40" s="88"/>
    </row>
    <row r="41" spans="1:24" ht="28.5" customHeight="1">
      <c r="A41" s="70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2"/>
    </row>
    <row r="42" spans="1:24" ht="28.5" customHeight="1">
      <c r="A42" s="144" t="s">
        <v>3</v>
      </c>
      <c r="B42" s="144" t="s">
        <v>101</v>
      </c>
      <c r="C42" s="144" t="s">
        <v>175</v>
      </c>
      <c r="D42" s="144" t="s">
        <v>138</v>
      </c>
      <c r="E42" s="144"/>
      <c r="F42" s="144"/>
      <c r="G42" s="144"/>
      <c r="H42" s="144" t="s">
        <v>176</v>
      </c>
      <c r="I42" s="144"/>
      <c r="J42" s="144"/>
      <c r="K42" s="144"/>
      <c r="L42" s="144"/>
      <c r="M42" s="144"/>
      <c r="N42" s="144"/>
      <c r="O42" s="144"/>
    </row>
    <row r="43" spans="1:24" ht="24" customHeight="1">
      <c r="A43" s="144"/>
      <c r="B43" s="144"/>
      <c r="C43" s="144"/>
      <c r="D43" s="144" t="s">
        <v>140</v>
      </c>
      <c r="E43" s="144"/>
      <c r="F43" s="144"/>
      <c r="G43" s="144"/>
      <c r="H43" s="118" t="s">
        <v>177</v>
      </c>
      <c r="I43" s="118" t="s">
        <v>69</v>
      </c>
      <c r="J43" s="118" t="s">
        <v>70</v>
      </c>
      <c r="K43" s="118" t="s">
        <v>71</v>
      </c>
      <c r="L43" s="118" t="s">
        <v>72</v>
      </c>
      <c r="M43" s="118" t="s">
        <v>73</v>
      </c>
      <c r="N43" s="118" t="s">
        <v>74</v>
      </c>
      <c r="O43" s="118" t="s">
        <v>141</v>
      </c>
    </row>
    <row r="44" spans="1:24" ht="21.75" customHeight="1">
      <c r="A44" s="118">
        <v>1</v>
      </c>
      <c r="B44" s="118">
        <v>2</v>
      </c>
      <c r="C44" s="118">
        <v>2</v>
      </c>
      <c r="D44" s="118">
        <v>3</v>
      </c>
      <c r="E44" s="118">
        <v>4</v>
      </c>
      <c r="F44" s="118">
        <v>5</v>
      </c>
      <c r="G44" s="118">
        <v>6</v>
      </c>
      <c r="H44" s="118">
        <v>7</v>
      </c>
      <c r="I44" s="118">
        <v>8</v>
      </c>
      <c r="J44" s="118">
        <v>9</v>
      </c>
      <c r="K44" s="118">
        <v>10</v>
      </c>
      <c r="L44" s="118">
        <v>11</v>
      </c>
      <c r="M44" s="118">
        <v>12</v>
      </c>
      <c r="N44" s="118">
        <v>13</v>
      </c>
      <c r="O44" s="118">
        <v>14</v>
      </c>
      <c r="Q44" s="76"/>
      <c r="R44" s="76"/>
      <c r="S44" s="76"/>
      <c r="T44" s="76"/>
      <c r="U44" s="76"/>
      <c r="V44" s="76"/>
      <c r="W44" s="76"/>
    </row>
    <row r="45" spans="1:24" ht="28.5" customHeight="1">
      <c r="A45" s="164" t="s">
        <v>15</v>
      </c>
      <c r="B45" s="117"/>
      <c r="C45" s="168" t="s">
        <v>178</v>
      </c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76"/>
    </row>
    <row r="46" spans="1:24" ht="24" customHeight="1">
      <c r="A46" s="164"/>
      <c r="B46" s="167" t="s">
        <v>142</v>
      </c>
      <c r="C46" s="89" t="s">
        <v>179</v>
      </c>
      <c r="D46" s="74"/>
      <c r="E46" s="74"/>
      <c r="F46" s="74"/>
      <c r="G46" s="74"/>
      <c r="H46" s="63">
        <f>H55+H56+H57+H58+H72+H82+H94+H104+H113+H123+H133+H142+H143+H144+H145</f>
        <v>6978370.5</v>
      </c>
      <c r="I46" s="63">
        <f>I59+I60+I61+I62+I63+I73+I83+I95+I114+I124+I133+I146+I147</f>
        <v>8163337.1000000006</v>
      </c>
      <c r="J46" s="63">
        <f t="shared" ref="J46:N46" si="9">J59+J60+J61+J62+J63+J73+J83+J95+J114+J124+J133+J146+J147</f>
        <v>9690184.5</v>
      </c>
      <c r="K46" s="63">
        <f t="shared" si="9"/>
        <v>9480730.4000000004</v>
      </c>
      <c r="L46" s="63">
        <f t="shared" si="9"/>
        <v>11981636.699999999</v>
      </c>
      <c r="M46" s="63">
        <f t="shared" si="9"/>
        <v>8917395</v>
      </c>
      <c r="N46" s="63">
        <f t="shared" si="9"/>
        <v>9687202.4000000004</v>
      </c>
      <c r="O46" s="63">
        <f>SUM(H46:N46)</f>
        <v>64898856.600000001</v>
      </c>
      <c r="P46" s="76">
        <f>O46+P52</f>
        <v>65311825.799999997</v>
      </c>
      <c r="Q46" s="76"/>
      <c r="S46" s="76"/>
      <c r="T46" s="76"/>
      <c r="U46" s="76"/>
      <c r="V46" s="76"/>
      <c r="X46" s="76">
        <f>I46-I58-I142+2173</f>
        <v>8165510.1000000006</v>
      </c>
    </row>
    <row r="47" spans="1:24" ht="33.75" customHeight="1">
      <c r="A47" s="164"/>
      <c r="B47" s="167"/>
      <c r="C47" s="89" t="s">
        <v>180</v>
      </c>
      <c r="D47" s="74"/>
      <c r="E47" s="74"/>
      <c r="F47" s="74"/>
      <c r="G47" s="74"/>
      <c r="H47" s="63"/>
      <c r="I47" s="63"/>
      <c r="J47" s="63"/>
      <c r="K47" s="63"/>
      <c r="L47" s="63"/>
      <c r="M47" s="63"/>
      <c r="N47" s="63"/>
      <c r="O47" s="63"/>
      <c r="P47" s="76"/>
      <c r="Q47" s="76"/>
    </row>
    <row r="48" spans="1:24" ht="39.75" customHeight="1">
      <c r="A48" s="164"/>
      <c r="B48" s="167"/>
      <c r="C48" s="89" t="s">
        <v>181</v>
      </c>
      <c r="D48" s="74"/>
      <c r="E48" s="74"/>
      <c r="F48" s="74"/>
      <c r="G48" s="74"/>
      <c r="H48" s="63"/>
      <c r="I48" s="63"/>
      <c r="J48" s="63"/>
      <c r="K48" s="63"/>
      <c r="L48" s="63"/>
      <c r="M48" s="63"/>
      <c r="N48" s="63"/>
      <c r="O48" s="63"/>
      <c r="T48" s="76"/>
    </row>
    <row r="49" spans="1:18" ht="25.5" customHeight="1">
      <c r="A49" s="164"/>
      <c r="B49" s="167"/>
      <c r="C49" s="89" t="s">
        <v>182</v>
      </c>
      <c r="D49" s="74"/>
      <c r="E49" s="74"/>
      <c r="F49" s="74"/>
      <c r="G49" s="74"/>
      <c r="H49" s="63">
        <f>H86+H107</f>
        <v>1860280.2</v>
      </c>
      <c r="I49" s="63">
        <f>I87</f>
        <v>1823321.9</v>
      </c>
      <c r="J49" s="63">
        <f>J87</f>
        <v>2659103</v>
      </c>
      <c r="K49" s="63">
        <f t="shared" ref="K49:N49" si="10">K87</f>
        <v>13733.4</v>
      </c>
      <c r="L49" s="63">
        <f t="shared" si="10"/>
        <v>0</v>
      </c>
      <c r="M49" s="63">
        <f t="shared" si="10"/>
        <v>0</v>
      </c>
      <c r="N49" s="63">
        <f t="shared" si="10"/>
        <v>0</v>
      </c>
      <c r="O49" s="63">
        <f>SUM(H49:N49)</f>
        <v>6356438.5</v>
      </c>
    </row>
    <row r="50" spans="1:18" ht="70.5" customHeight="1">
      <c r="A50" s="164"/>
      <c r="B50" s="167"/>
      <c r="C50" s="89" t="s">
        <v>183</v>
      </c>
      <c r="D50" s="74"/>
      <c r="E50" s="74"/>
      <c r="F50" s="74"/>
      <c r="G50" s="74"/>
      <c r="H50" s="117"/>
      <c r="I50" s="117"/>
      <c r="J50" s="117"/>
      <c r="K50" s="117"/>
      <c r="L50" s="117"/>
      <c r="M50" s="117"/>
      <c r="N50" s="117"/>
      <c r="O50" s="63"/>
    </row>
    <row r="51" spans="1:18" ht="50.25" customHeight="1">
      <c r="A51" s="164"/>
      <c r="B51" s="167"/>
      <c r="C51" s="89" t="s">
        <v>184</v>
      </c>
      <c r="D51" s="74"/>
      <c r="E51" s="74"/>
      <c r="F51" s="74"/>
      <c r="G51" s="74"/>
      <c r="H51" s="63"/>
      <c r="I51" s="63"/>
      <c r="J51" s="63"/>
      <c r="K51" s="63"/>
      <c r="L51" s="63"/>
      <c r="M51" s="63"/>
      <c r="N51" s="63"/>
      <c r="O51" s="63"/>
    </row>
    <row r="52" spans="1:18" ht="27" customHeight="1">
      <c r="A52" s="164"/>
      <c r="B52" s="167"/>
      <c r="C52" s="89" t="s">
        <v>146</v>
      </c>
      <c r="D52" s="74"/>
      <c r="E52" s="74"/>
      <c r="F52" s="74"/>
      <c r="G52" s="74"/>
      <c r="H52" s="63">
        <f>H91</f>
        <v>1983674</v>
      </c>
      <c r="I52" s="63">
        <f>I91</f>
        <v>1941557.2999999998</v>
      </c>
      <c r="J52" s="63">
        <f>J91</f>
        <v>2829566.4</v>
      </c>
      <c r="K52" s="63">
        <f t="shared" ref="K52:N52" si="11">K91</f>
        <v>14610</v>
      </c>
      <c r="L52" s="63">
        <f t="shared" si="11"/>
        <v>0</v>
      </c>
      <c r="M52" s="63">
        <f t="shared" si="11"/>
        <v>0</v>
      </c>
      <c r="N52" s="63">
        <f t="shared" si="11"/>
        <v>0</v>
      </c>
      <c r="O52" s="63">
        <f>SUM(H52:N52)</f>
        <v>6769407.6999999993</v>
      </c>
      <c r="P52" s="76">
        <f>O52-O49</f>
        <v>412969.19999999925</v>
      </c>
    </row>
    <row r="53" spans="1:18" ht="21.75" customHeight="1">
      <c r="A53" s="164"/>
      <c r="B53" s="167"/>
      <c r="C53" s="89" t="s">
        <v>185</v>
      </c>
      <c r="D53" s="74"/>
      <c r="E53" s="74"/>
      <c r="F53" s="74"/>
      <c r="G53" s="74"/>
      <c r="H53" s="117"/>
      <c r="I53" s="117"/>
      <c r="J53" s="117"/>
      <c r="K53" s="117"/>
      <c r="L53" s="117"/>
      <c r="M53" s="117"/>
      <c r="N53" s="117"/>
      <c r="O53" s="63"/>
    </row>
    <row r="54" spans="1:18" ht="32.25" customHeight="1">
      <c r="A54" s="164" t="s">
        <v>17</v>
      </c>
      <c r="B54" s="121"/>
      <c r="C54" s="162" t="s">
        <v>106</v>
      </c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</row>
    <row r="55" spans="1:18" ht="20.25" customHeight="1">
      <c r="A55" s="164"/>
      <c r="B55" s="167" t="s">
        <v>106</v>
      </c>
      <c r="C55" s="163" t="s">
        <v>179</v>
      </c>
      <c r="D55" s="120">
        <v>828</v>
      </c>
      <c r="E55" s="120" t="s">
        <v>147</v>
      </c>
      <c r="F55" s="120" t="s">
        <v>148</v>
      </c>
      <c r="G55" s="120">
        <v>200</v>
      </c>
      <c r="H55" s="78">
        <v>3957951.7</v>
      </c>
      <c r="I55" s="78"/>
      <c r="J55" s="78"/>
      <c r="K55" s="78"/>
      <c r="L55" s="78"/>
      <c r="M55" s="78"/>
      <c r="N55" s="78"/>
      <c r="O55" s="63">
        <f t="shared" ref="O55:O63" si="12">SUM(H55:N55)</f>
        <v>3957951.7</v>
      </c>
      <c r="Q55" s="90">
        <f>6684-155</f>
        <v>6529</v>
      </c>
      <c r="R55" s="91" t="s">
        <v>186</v>
      </c>
    </row>
    <row r="56" spans="1:18" ht="21" customHeight="1">
      <c r="A56" s="164"/>
      <c r="B56" s="167"/>
      <c r="C56" s="163"/>
      <c r="D56" s="120">
        <v>828</v>
      </c>
      <c r="E56" s="120" t="s">
        <v>147</v>
      </c>
      <c r="F56" s="120" t="s">
        <v>148</v>
      </c>
      <c r="G56" s="120">
        <v>800</v>
      </c>
      <c r="H56" s="78">
        <v>500</v>
      </c>
      <c r="I56" s="78"/>
      <c r="J56" s="78"/>
      <c r="K56" s="78"/>
      <c r="L56" s="78"/>
      <c r="M56" s="78"/>
      <c r="N56" s="78"/>
      <c r="O56" s="63">
        <f t="shared" si="12"/>
        <v>500</v>
      </c>
    </row>
    <row r="57" spans="1:18" ht="20.25" customHeight="1">
      <c r="A57" s="164"/>
      <c r="B57" s="167"/>
      <c r="C57" s="163"/>
      <c r="D57" s="120">
        <v>828</v>
      </c>
      <c r="E57" s="120" t="s">
        <v>147</v>
      </c>
      <c r="F57" s="120" t="s">
        <v>150</v>
      </c>
      <c r="G57" s="120">
        <v>200</v>
      </c>
      <c r="H57" s="122">
        <f>173842.1-15066</f>
        <v>158776.1</v>
      </c>
      <c r="I57" s="122"/>
      <c r="J57" s="122"/>
      <c r="K57" s="122"/>
      <c r="L57" s="122"/>
      <c r="M57" s="122"/>
      <c r="N57" s="122"/>
      <c r="O57" s="63">
        <f t="shared" si="12"/>
        <v>158776.1</v>
      </c>
    </row>
    <row r="58" spans="1:18" ht="20.25" customHeight="1">
      <c r="A58" s="164"/>
      <c r="B58" s="167"/>
      <c r="C58" s="163"/>
      <c r="D58" s="120">
        <v>828</v>
      </c>
      <c r="E58" s="120" t="s">
        <v>147</v>
      </c>
      <c r="F58" s="120" t="s">
        <v>150</v>
      </c>
      <c r="G58" s="120">
        <v>600</v>
      </c>
      <c r="H58" s="122">
        <v>22328</v>
      </c>
      <c r="I58" s="122"/>
      <c r="J58" s="122"/>
      <c r="K58" s="122"/>
      <c r="L58" s="122"/>
      <c r="M58" s="122"/>
      <c r="N58" s="122"/>
      <c r="O58" s="63">
        <f t="shared" si="12"/>
        <v>22328</v>
      </c>
    </row>
    <row r="59" spans="1:18" ht="20.25" customHeight="1">
      <c r="A59" s="164"/>
      <c r="B59" s="167"/>
      <c r="C59" s="163"/>
      <c r="D59" s="92">
        <v>828</v>
      </c>
      <c r="E59" s="92" t="s">
        <v>147</v>
      </c>
      <c r="F59" s="92" t="s">
        <v>187</v>
      </c>
      <c r="G59" s="92">
        <v>200</v>
      </c>
      <c r="H59" s="122"/>
      <c r="I59" s="101">
        <v>3552021.8000000003</v>
      </c>
      <c r="J59" s="102">
        <v>4434605.2</v>
      </c>
      <c r="K59" s="102">
        <v>4767428.2</v>
      </c>
      <c r="L59" s="102">
        <v>4953385.2</v>
      </c>
      <c r="M59" s="102">
        <v>5367431.9000000004</v>
      </c>
      <c r="N59" s="102">
        <v>5811438.5</v>
      </c>
      <c r="O59" s="63">
        <f t="shared" si="12"/>
        <v>28886310.799999997</v>
      </c>
      <c r="P59" s="57" t="s">
        <v>220</v>
      </c>
    </row>
    <row r="60" spans="1:18" ht="20.25" customHeight="1">
      <c r="A60" s="164"/>
      <c r="B60" s="167"/>
      <c r="C60" s="163"/>
      <c r="D60" s="92">
        <v>828</v>
      </c>
      <c r="E60" s="92" t="s">
        <v>147</v>
      </c>
      <c r="F60" s="92" t="s">
        <v>187</v>
      </c>
      <c r="G60" s="92">
        <v>800</v>
      </c>
      <c r="H60" s="122"/>
      <c r="I60" s="101">
        <v>1575</v>
      </c>
      <c r="J60" s="102">
        <v>5000</v>
      </c>
      <c r="K60" s="102">
        <v>5000</v>
      </c>
      <c r="L60" s="102">
        <v>5000</v>
      </c>
      <c r="M60" s="102">
        <v>5000</v>
      </c>
      <c r="N60" s="102">
        <v>5000</v>
      </c>
      <c r="O60" s="63">
        <f t="shared" si="12"/>
        <v>26575</v>
      </c>
      <c r="P60" s="57" t="s">
        <v>221</v>
      </c>
    </row>
    <row r="61" spans="1:18" ht="20.25" customHeight="1">
      <c r="A61" s="164"/>
      <c r="B61" s="167"/>
      <c r="C61" s="163"/>
      <c r="D61" s="92">
        <v>828</v>
      </c>
      <c r="E61" s="92" t="s">
        <v>147</v>
      </c>
      <c r="F61" s="92" t="s">
        <v>188</v>
      </c>
      <c r="G61" s="92">
        <v>200</v>
      </c>
      <c r="H61" s="122"/>
      <c r="I61" s="123">
        <v>337657.4</v>
      </c>
      <c r="J61" s="123">
        <v>258297</v>
      </c>
      <c r="K61" s="123">
        <v>299402</v>
      </c>
      <c r="L61" s="123">
        <v>233876</v>
      </c>
      <c r="M61" s="123">
        <v>239641.5</v>
      </c>
      <c r="N61" s="123">
        <v>239641.5</v>
      </c>
      <c r="O61" s="63">
        <f t="shared" si="12"/>
        <v>1608515.4</v>
      </c>
      <c r="P61" s="57" t="s">
        <v>231</v>
      </c>
    </row>
    <row r="62" spans="1:18" ht="20.25" customHeight="1">
      <c r="A62" s="164"/>
      <c r="B62" s="167"/>
      <c r="C62" s="163"/>
      <c r="D62" s="92">
        <v>828</v>
      </c>
      <c r="E62" s="92" t="s">
        <v>147</v>
      </c>
      <c r="F62" s="92" t="s">
        <v>188</v>
      </c>
      <c r="G62" s="92">
        <v>600</v>
      </c>
      <c r="H62" s="122"/>
      <c r="I62" s="123">
        <v>24075</v>
      </c>
      <c r="J62" s="123">
        <v>24774</v>
      </c>
      <c r="K62" s="123">
        <v>25363</v>
      </c>
      <c r="L62" s="123">
        <v>25363</v>
      </c>
      <c r="M62" s="123">
        <v>25363</v>
      </c>
      <c r="N62" s="123">
        <v>25363</v>
      </c>
      <c r="O62" s="63">
        <f t="shared" si="12"/>
        <v>150301</v>
      </c>
      <c r="P62" s="57" t="s">
        <v>230</v>
      </c>
    </row>
    <row r="63" spans="1:18" ht="20.25" customHeight="1">
      <c r="A63" s="164"/>
      <c r="B63" s="167"/>
      <c r="C63" s="163"/>
      <c r="D63" s="92">
        <v>828</v>
      </c>
      <c r="E63" s="92" t="s">
        <v>147</v>
      </c>
      <c r="F63" s="92" t="s">
        <v>189</v>
      </c>
      <c r="G63" s="92">
        <v>200</v>
      </c>
      <c r="H63" s="122"/>
      <c r="I63" s="122">
        <v>113681.79999999999</v>
      </c>
      <c r="J63" s="122">
        <v>177000</v>
      </c>
      <c r="K63" s="122">
        <v>184000</v>
      </c>
      <c r="L63" s="122">
        <v>184000</v>
      </c>
      <c r="M63" s="122">
        <v>184000</v>
      </c>
      <c r="N63" s="122">
        <v>184000</v>
      </c>
      <c r="O63" s="63">
        <f t="shared" si="12"/>
        <v>1026681.8</v>
      </c>
      <c r="P63" s="57" t="s">
        <v>222</v>
      </c>
    </row>
    <row r="64" spans="1:18" ht="30.75" customHeight="1">
      <c r="A64" s="164"/>
      <c r="B64" s="167"/>
      <c r="C64" s="89" t="s">
        <v>180</v>
      </c>
      <c r="D64" s="74"/>
      <c r="E64" s="74"/>
      <c r="F64" s="74"/>
      <c r="G64" s="74"/>
      <c r="H64" s="93"/>
      <c r="I64" s="93"/>
      <c r="J64" s="93"/>
      <c r="K64" s="93"/>
      <c r="L64" s="93"/>
      <c r="M64" s="93"/>
      <c r="N64" s="93"/>
      <c r="O64" s="93"/>
    </row>
    <row r="65" spans="1:16" ht="30.75" customHeight="1">
      <c r="A65" s="164"/>
      <c r="B65" s="167"/>
      <c r="C65" s="89" t="s">
        <v>181</v>
      </c>
      <c r="D65" s="74"/>
      <c r="E65" s="74"/>
      <c r="F65" s="74"/>
      <c r="G65" s="74"/>
      <c r="H65" s="63"/>
      <c r="I65" s="63"/>
      <c r="J65" s="63"/>
      <c r="K65" s="63"/>
      <c r="L65" s="63"/>
      <c r="M65" s="63"/>
      <c r="N65" s="63"/>
      <c r="O65" s="63"/>
    </row>
    <row r="66" spans="1:16" ht="24" customHeight="1">
      <c r="A66" s="164"/>
      <c r="B66" s="167"/>
      <c r="C66" s="89" t="s">
        <v>182</v>
      </c>
      <c r="D66" s="74"/>
      <c r="E66" s="74"/>
      <c r="F66" s="74"/>
      <c r="G66" s="74"/>
      <c r="H66" s="63"/>
      <c r="I66" s="63"/>
      <c r="J66" s="63"/>
      <c r="K66" s="63"/>
      <c r="L66" s="63"/>
      <c r="M66" s="63"/>
      <c r="N66" s="63"/>
      <c r="O66" s="63"/>
    </row>
    <row r="67" spans="1:16" ht="63">
      <c r="A67" s="139"/>
      <c r="B67" s="167"/>
      <c r="C67" s="89" t="s">
        <v>183</v>
      </c>
      <c r="D67" s="74"/>
      <c r="E67" s="74"/>
      <c r="F67" s="74"/>
      <c r="G67" s="74"/>
      <c r="H67" s="63"/>
      <c r="I67" s="63"/>
      <c r="J67" s="63"/>
      <c r="K67" s="63"/>
      <c r="L67" s="63"/>
      <c r="M67" s="63"/>
      <c r="N67" s="63"/>
      <c r="O67" s="63"/>
    </row>
    <row r="68" spans="1:16" ht="50.25" customHeight="1">
      <c r="A68" s="139"/>
      <c r="B68" s="167"/>
      <c r="C68" s="89" t="s">
        <v>184</v>
      </c>
      <c r="D68" s="74"/>
      <c r="E68" s="74"/>
      <c r="F68" s="74"/>
      <c r="G68" s="74"/>
      <c r="H68" s="63"/>
      <c r="I68" s="63"/>
      <c r="J68" s="63"/>
      <c r="K68" s="63"/>
      <c r="L68" s="63"/>
      <c r="M68" s="63"/>
      <c r="N68" s="63"/>
      <c r="O68" s="63"/>
    </row>
    <row r="69" spans="1:16" ht="18.75" customHeight="1">
      <c r="A69" s="139"/>
      <c r="B69" s="167"/>
      <c r="C69" s="89" t="s">
        <v>146</v>
      </c>
      <c r="D69" s="74"/>
      <c r="E69" s="74"/>
      <c r="F69" s="74"/>
      <c r="G69" s="74"/>
      <c r="H69" s="63"/>
      <c r="I69" s="63"/>
      <c r="J69" s="63"/>
      <c r="K69" s="63"/>
      <c r="L69" s="63"/>
      <c r="M69" s="63"/>
      <c r="N69" s="63"/>
      <c r="O69" s="63"/>
    </row>
    <row r="70" spans="1:16" ht="19.5" customHeight="1">
      <c r="A70" s="139"/>
      <c r="B70" s="167"/>
      <c r="C70" s="89" t="s">
        <v>185</v>
      </c>
      <c r="D70" s="74"/>
      <c r="E70" s="74"/>
      <c r="F70" s="74"/>
      <c r="G70" s="74"/>
      <c r="H70" s="63"/>
      <c r="I70" s="63"/>
      <c r="J70" s="63"/>
      <c r="K70" s="63"/>
      <c r="L70" s="63"/>
      <c r="M70" s="63"/>
      <c r="N70" s="63"/>
      <c r="O70" s="63"/>
    </row>
    <row r="71" spans="1:16" ht="31.5" customHeight="1">
      <c r="A71" s="164" t="s">
        <v>27</v>
      </c>
      <c r="B71" s="121"/>
      <c r="C71" s="162" t="s">
        <v>111</v>
      </c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</row>
    <row r="72" spans="1:16" ht="22.5" customHeight="1">
      <c r="A72" s="164"/>
      <c r="B72" s="153" t="s">
        <v>111</v>
      </c>
      <c r="C72" s="163" t="s">
        <v>179</v>
      </c>
      <c r="D72" s="120">
        <v>828</v>
      </c>
      <c r="E72" s="120" t="s">
        <v>147</v>
      </c>
      <c r="F72" s="120" t="s">
        <v>148</v>
      </c>
      <c r="G72" s="120">
        <v>200</v>
      </c>
      <c r="H72" s="63">
        <v>813458.2</v>
      </c>
      <c r="I72" s="78"/>
      <c r="J72" s="78"/>
      <c r="K72" s="63"/>
      <c r="L72" s="63"/>
      <c r="M72" s="63"/>
      <c r="N72" s="63"/>
      <c r="O72" s="63">
        <f t="shared" ref="O72:O73" si="13">SUM(H72:N72)</f>
        <v>813458.2</v>
      </c>
    </row>
    <row r="73" spans="1:16" ht="22.5" customHeight="1">
      <c r="A73" s="164"/>
      <c r="B73" s="153"/>
      <c r="C73" s="163"/>
      <c r="D73" s="92">
        <v>828</v>
      </c>
      <c r="E73" s="92" t="s">
        <v>147</v>
      </c>
      <c r="F73" s="92" t="s">
        <v>190</v>
      </c>
      <c r="G73" s="92">
        <v>200</v>
      </c>
      <c r="H73" s="63"/>
      <c r="I73" s="102">
        <v>1975762.1</v>
      </c>
      <c r="J73" s="102">
        <v>779631.8</v>
      </c>
      <c r="K73" s="102">
        <v>2514203.7999999998</v>
      </c>
      <c r="L73" s="102">
        <f>4802138.4+924874.1</f>
        <v>5727012.5</v>
      </c>
      <c r="M73" s="128">
        <f>5400000+807447-3000000-816488.4</f>
        <v>2390958.6</v>
      </c>
      <c r="N73" s="129">
        <f>5500000+907447-3000000-690687.6</f>
        <v>2716759.4</v>
      </c>
      <c r="O73" s="63">
        <f t="shared" si="13"/>
        <v>16104328.199999999</v>
      </c>
      <c r="P73" s="57" t="s">
        <v>223</v>
      </c>
    </row>
    <row r="74" spans="1:16" ht="31.5">
      <c r="A74" s="164"/>
      <c r="B74" s="153"/>
      <c r="C74" s="89" t="s">
        <v>180</v>
      </c>
      <c r="D74" s="74"/>
      <c r="E74" s="74"/>
      <c r="F74" s="74"/>
      <c r="G74" s="74"/>
      <c r="H74" s="63"/>
      <c r="I74" s="63"/>
      <c r="J74" s="63"/>
      <c r="K74" s="63"/>
      <c r="L74" s="63"/>
      <c r="M74" s="63"/>
      <c r="N74" s="63"/>
      <c r="O74" s="63"/>
    </row>
    <row r="75" spans="1:16" ht="31.5">
      <c r="A75" s="164"/>
      <c r="B75" s="153"/>
      <c r="C75" s="89" t="s">
        <v>181</v>
      </c>
      <c r="D75" s="74"/>
      <c r="E75" s="74"/>
      <c r="F75" s="74"/>
      <c r="G75" s="74"/>
      <c r="H75" s="63"/>
      <c r="I75" s="63"/>
      <c r="J75" s="63"/>
      <c r="K75" s="63"/>
      <c r="L75" s="63"/>
      <c r="M75" s="63"/>
      <c r="N75" s="63"/>
      <c r="O75" s="63"/>
    </row>
    <row r="76" spans="1:16" ht="21.75" customHeight="1">
      <c r="A76" s="164"/>
      <c r="B76" s="153"/>
      <c r="C76" s="89" t="s">
        <v>182</v>
      </c>
      <c r="D76" s="74"/>
      <c r="E76" s="74"/>
      <c r="F76" s="74"/>
      <c r="G76" s="74"/>
      <c r="H76" s="63"/>
      <c r="I76" s="63"/>
      <c r="J76" s="63"/>
      <c r="K76" s="63"/>
      <c r="L76" s="63"/>
      <c r="M76" s="63"/>
      <c r="N76" s="63"/>
      <c r="O76" s="63"/>
    </row>
    <row r="77" spans="1:16" ht="63">
      <c r="A77" s="164"/>
      <c r="B77" s="153"/>
      <c r="C77" s="89" t="s">
        <v>183</v>
      </c>
      <c r="D77" s="74"/>
      <c r="E77" s="74"/>
      <c r="F77" s="74"/>
      <c r="G77" s="74"/>
      <c r="H77" s="63"/>
      <c r="I77" s="63"/>
      <c r="J77" s="63"/>
      <c r="K77" s="63"/>
      <c r="L77" s="63"/>
      <c r="M77" s="63"/>
      <c r="N77" s="63"/>
      <c r="O77" s="63"/>
    </row>
    <row r="78" spans="1:16" ht="47.25">
      <c r="A78" s="164"/>
      <c r="B78" s="153"/>
      <c r="C78" s="89" t="s">
        <v>184</v>
      </c>
      <c r="D78" s="74"/>
      <c r="E78" s="74"/>
      <c r="F78" s="74"/>
      <c r="G78" s="74"/>
      <c r="H78" s="63"/>
      <c r="I78" s="63"/>
      <c r="J78" s="63"/>
      <c r="K78" s="63"/>
      <c r="L78" s="63"/>
      <c r="M78" s="63"/>
      <c r="N78" s="63"/>
      <c r="O78" s="63"/>
    </row>
    <row r="79" spans="1:16" ht="18.75" customHeight="1">
      <c r="A79" s="164"/>
      <c r="B79" s="153"/>
      <c r="C79" s="89" t="s">
        <v>146</v>
      </c>
      <c r="D79" s="74"/>
      <c r="E79" s="74"/>
      <c r="F79" s="74"/>
      <c r="G79" s="74"/>
      <c r="H79" s="63"/>
      <c r="I79" s="63"/>
      <c r="J79" s="63"/>
      <c r="K79" s="63"/>
      <c r="L79" s="63"/>
      <c r="M79" s="63"/>
      <c r="N79" s="63"/>
      <c r="O79" s="63"/>
    </row>
    <row r="80" spans="1:16" ht="23.25" customHeight="1">
      <c r="A80" s="164"/>
      <c r="B80" s="153"/>
      <c r="C80" s="89" t="s">
        <v>185</v>
      </c>
      <c r="D80" s="74"/>
      <c r="E80" s="74"/>
      <c r="F80" s="74"/>
      <c r="G80" s="74"/>
      <c r="H80" s="63"/>
      <c r="I80" s="63"/>
      <c r="J80" s="63"/>
      <c r="K80" s="63"/>
      <c r="L80" s="63"/>
      <c r="M80" s="63"/>
      <c r="N80" s="63"/>
      <c r="O80" s="63"/>
    </row>
    <row r="81" spans="1:16" ht="29.85" customHeight="1">
      <c r="A81" s="164" t="s">
        <v>29</v>
      </c>
      <c r="B81" s="121"/>
      <c r="C81" s="162" t="s">
        <v>208</v>
      </c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62"/>
    </row>
    <row r="82" spans="1:16" ht="21.75" customHeight="1">
      <c r="A82" s="164"/>
      <c r="B82" s="167" t="s">
        <v>115</v>
      </c>
      <c r="C82" s="163" t="s">
        <v>179</v>
      </c>
      <c r="D82" s="120">
        <v>828</v>
      </c>
      <c r="E82" s="120" t="s">
        <v>147</v>
      </c>
      <c r="F82" s="120" t="s">
        <v>154</v>
      </c>
      <c r="G82" s="120">
        <v>500</v>
      </c>
      <c r="H82" s="78">
        <f>1784468+75812.2</f>
        <v>1860280.2</v>
      </c>
      <c r="I82" s="78"/>
      <c r="J82" s="63"/>
      <c r="K82" s="63"/>
      <c r="L82" s="63"/>
      <c r="M82" s="63"/>
      <c r="N82" s="63"/>
      <c r="O82" s="63">
        <f t="shared" ref="O82:O83" si="14">SUM(H82:N82)</f>
        <v>1860280.2</v>
      </c>
      <c r="P82" s="76">
        <f>SUM(H82:N82)</f>
        <v>1860280.2</v>
      </c>
    </row>
    <row r="83" spans="1:16" ht="22.5" customHeight="1">
      <c r="A83" s="164"/>
      <c r="B83" s="167"/>
      <c r="C83" s="163"/>
      <c r="D83" s="92">
        <v>828</v>
      </c>
      <c r="E83" s="92" t="s">
        <v>147</v>
      </c>
      <c r="F83" s="92" t="s">
        <v>191</v>
      </c>
      <c r="G83" s="92">
        <v>500</v>
      </c>
      <c r="H83" s="122"/>
      <c r="I83" s="130">
        <v>1823321.9</v>
      </c>
      <c r="J83" s="102">
        <v>2659103</v>
      </c>
      <c r="K83" s="130">
        <v>13733.4</v>
      </c>
      <c r="L83" s="63"/>
      <c r="M83" s="63"/>
      <c r="N83" s="63"/>
      <c r="O83" s="63">
        <f t="shared" si="14"/>
        <v>4496158.3000000007</v>
      </c>
      <c r="P83" s="76" t="s">
        <v>224</v>
      </c>
    </row>
    <row r="84" spans="1:16" ht="31.5">
      <c r="A84" s="164"/>
      <c r="B84" s="167"/>
      <c r="C84" s="89" t="s">
        <v>180</v>
      </c>
      <c r="D84" s="74"/>
      <c r="E84" s="74"/>
      <c r="F84" s="74"/>
      <c r="G84" s="74"/>
      <c r="H84" s="63"/>
      <c r="I84" s="63"/>
      <c r="J84" s="63"/>
      <c r="K84" s="63"/>
      <c r="L84" s="63"/>
      <c r="M84" s="63"/>
      <c r="N84" s="63"/>
      <c r="O84" s="63"/>
    </row>
    <row r="85" spans="1:16" ht="31.5">
      <c r="A85" s="164"/>
      <c r="B85" s="167"/>
      <c r="C85" s="89" t="s">
        <v>181</v>
      </c>
      <c r="D85" s="74"/>
      <c r="E85" s="74"/>
      <c r="F85" s="74"/>
      <c r="G85" s="74"/>
      <c r="H85" s="63"/>
      <c r="I85" s="63"/>
      <c r="J85" s="63"/>
      <c r="K85" s="63"/>
      <c r="L85" s="63"/>
      <c r="M85" s="63"/>
      <c r="N85" s="63"/>
      <c r="O85" s="63"/>
    </row>
    <row r="86" spans="1:16" ht="24" hidden="1" customHeight="1">
      <c r="A86" s="164"/>
      <c r="B86" s="167"/>
      <c r="C86" s="163" t="s">
        <v>182</v>
      </c>
      <c r="D86" s="120">
        <v>828</v>
      </c>
      <c r="E86" s="120" t="s">
        <v>147</v>
      </c>
      <c r="F86" s="120" t="s">
        <v>154</v>
      </c>
      <c r="G86" s="120">
        <v>500</v>
      </c>
      <c r="H86" s="122">
        <f>H82</f>
        <v>1860280.2</v>
      </c>
      <c r="I86" s="78"/>
      <c r="J86" s="63"/>
      <c r="K86" s="63"/>
      <c r="L86" s="63"/>
      <c r="M86" s="63"/>
      <c r="N86" s="63"/>
      <c r="O86" s="63">
        <f>SUM(H86:N86)</f>
        <v>1860280.2</v>
      </c>
    </row>
    <row r="87" spans="1:16" ht="21.75" customHeight="1">
      <c r="A87" s="164"/>
      <c r="B87" s="167"/>
      <c r="C87" s="163"/>
      <c r="D87" s="92">
        <v>828</v>
      </c>
      <c r="E87" s="92" t="s">
        <v>147</v>
      </c>
      <c r="F87" s="92" t="s">
        <v>191</v>
      </c>
      <c r="G87" s="92">
        <v>500</v>
      </c>
      <c r="H87" s="122"/>
      <c r="I87" s="78">
        <f>I83</f>
        <v>1823321.9</v>
      </c>
      <c r="J87" s="63">
        <f>J83</f>
        <v>2659103</v>
      </c>
      <c r="K87" s="63">
        <f t="shared" ref="K87:N87" si="15">K83</f>
        <v>13733.4</v>
      </c>
      <c r="L87" s="63">
        <f t="shared" si="15"/>
        <v>0</v>
      </c>
      <c r="M87" s="63">
        <f t="shared" si="15"/>
        <v>0</v>
      </c>
      <c r="N87" s="63">
        <f t="shared" si="15"/>
        <v>0</v>
      </c>
      <c r="O87" s="63">
        <f>SUM(H87:N87)</f>
        <v>4496158.3000000007</v>
      </c>
    </row>
    <row r="88" spans="1:16" ht="63.75" customHeight="1">
      <c r="A88" s="139"/>
      <c r="B88" s="167"/>
      <c r="C88" s="89" t="s">
        <v>183</v>
      </c>
      <c r="D88" s="74"/>
      <c r="E88" s="74"/>
      <c r="F88" s="74"/>
      <c r="G88" s="74"/>
      <c r="H88" s="63"/>
      <c r="I88" s="63"/>
      <c r="J88" s="63"/>
      <c r="K88" s="63"/>
      <c r="L88" s="63"/>
      <c r="M88" s="63"/>
      <c r="N88" s="63"/>
      <c r="O88" s="63"/>
    </row>
    <row r="89" spans="1:16" ht="51" customHeight="1">
      <c r="A89" s="139"/>
      <c r="B89" s="167"/>
      <c r="C89" s="89" t="s">
        <v>184</v>
      </c>
      <c r="D89" s="74"/>
      <c r="E89" s="74"/>
      <c r="F89" s="74"/>
      <c r="G89" s="74"/>
      <c r="H89" s="93"/>
      <c r="I89" s="63"/>
      <c r="J89" s="63"/>
      <c r="K89" s="63"/>
      <c r="L89" s="63"/>
      <c r="M89" s="63"/>
      <c r="N89" s="63"/>
      <c r="O89" s="63"/>
    </row>
    <row r="90" spans="1:16" ht="21" hidden="1" customHeight="1">
      <c r="A90" s="139"/>
      <c r="B90" s="167"/>
      <c r="C90" s="108" t="s">
        <v>213</v>
      </c>
      <c r="D90" s="109"/>
      <c r="E90" s="109"/>
      <c r="F90" s="109"/>
      <c r="G90" s="109"/>
      <c r="H90" s="124">
        <f>119403.7+3990.1</f>
        <v>123393.8</v>
      </c>
      <c r="I90" s="131">
        <v>118235.4</v>
      </c>
      <c r="J90" s="110">
        <v>170463.4</v>
      </c>
      <c r="K90" s="131">
        <v>876.6</v>
      </c>
      <c r="L90" s="111"/>
      <c r="M90" s="111"/>
      <c r="N90" s="111"/>
      <c r="O90" s="111">
        <f>SUM(H90:N90)</f>
        <v>412969.19999999995</v>
      </c>
    </row>
    <row r="91" spans="1:16" ht="21" customHeight="1">
      <c r="A91" s="139"/>
      <c r="B91" s="167"/>
      <c r="C91" s="89" t="s">
        <v>146</v>
      </c>
      <c r="D91" s="74"/>
      <c r="E91" s="74"/>
      <c r="F91" s="74"/>
      <c r="G91" s="74"/>
      <c r="H91" s="78">
        <f>H86+H90</f>
        <v>1983674</v>
      </c>
      <c r="I91" s="78">
        <f>I87+I90</f>
        <v>1941557.2999999998</v>
      </c>
      <c r="J91" s="78">
        <f>J87+J90</f>
        <v>2829566.4</v>
      </c>
      <c r="K91" s="78">
        <f>K87+K90</f>
        <v>14610</v>
      </c>
      <c r="L91" s="63"/>
      <c r="M91" s="63"/>
      <c r="N91" s="63"/>
      <c r="O91" s="63">
        <f>SUM(H91:N91)</f>
        <v>6769407.6999999993</v>
      </c>
    </row>
    <row r="92" spans="1:16" ht="19.5" customHeight="1">
      <c r="A92" s="139"/>
      <c r="B92" s="167"/>
      <c r="C92" s="89" t="s">
        <v>185</v>
      </c>
      <c r="D92" s="74"/>
      <c r="E92" s="74"/>
      <c r="F92" s="74"/>
      <c r="G92" s="74"/>
      <c r="H92" s="63"/>
      <c r="I92" s="63"/>
      <c r="J92" s="63"/>
      <c r="K92" s="63"/>
      <c r="L92" s="63"/>
      <c r="M92" s="63"/>
      <c r="N92" s="63"/>
      <c r="O92" s="63"/>
    </row>
    <row r="93" spans="1:16" ht="24" customHeight="1">
      <c r="A93" s="164" t="s">
        <v>32</v>
      </c>
      <c r="B93" s="121"/>
      <c r="C93" s="162" t="s">
        <v>207</v>
      </c>
      <c r="D93" s="162"/>
      <c r="E93" s="162"/>
      <c r="F93" s="162"/>
      <c r="G93" s="162"/>
      <c r="H93" s="162"/>
      <c r="I93" s="162"/>
      <c r="J93" s="162"/>
      <c r="K93" s="162"/>
      <c r="L93" s="162"/>
      <c r="M93" s="162"/>
      <c r="N93" s="162"/>
      <c r="O93" s="162"/>
    </row>
    <row r="94" spans="1:16" ht="24" customHeight="1">
      <c r="A94" s="164"/>
      <c r="B94" s="153" t="s">
        <v>157</v>
      </c>
      <c r="C94" s="163" t="s">
        <v>179</v>
      </c>
      <c r="D94" s="120">
        <v>828</v>
      </c>
      <c r="E94" s="120" t="s">
        <v>147</v>
      </c>
      <c r="F94" s="120" t="s">
        <v>148</v>
      </c>
      <c r="G94" s="120">
        <v>200</v>
      </c>
      <c r="H94" s="20"/>
      <c r="I94" s="20"/>
      <c r="J94" s="78"/>
      <c r="K94" s="78"/>
      <c r="L94" s="78"/>
      <c r="M94" s="78"/>
      <c r="N94" s="78"/>
      <c r="O94" s="63">
        <f t="shared" ref="O94:O95" si="16">SUM(H94:N94)</f>
        <v>0</v>
      </c>
    </row>
    <row r="95" spans="1:16" ht="25.5" customHeight="1">
      <c r="A95" s="164"/>
      <c r="B95" s="153"/>
      <c r="C95" s="163"/>
      <c r="D95" s="92">
        <v>828</v>
      </c>
      <c r="E95" s="92" t="s">
        <v>147</v>
      </c>
      <c r="F95" s="92" t="s">
        <v>192</v>
      </c>
      <c r="G95" s="92">
        <v>200</v>
      </c>
      <c r="H95" s="20"/>
      <c r="I95" s="102"/>
      <c r="J95" s="102">
        <v>388133.7</v>
      </c>
      <c r="K95" s="102">
        <v>289000</v>
      </c>
      <c r="L95" s="102">
        <v>248000</v>
      </c>
      <c r="M95" s="102">
        <v>100000</v>
      </c>
      <c r="N95" s="132">
        <v>100000</v>
      </c>
      <c r="O95" s="63">
        <f t="shared" si="16"/>
        <v>1125133.7</v>
      </c>
      <c r="P95" s="57" t="s">
        <v>225</v>
      </c>
    </row>
    <row r="96" spans="1:16" ht="31.5">
      <c r="A96" s="164"/>
      <c r="B96" s="153"/>
      <c r="C96" s="89" t="s">
        <v>180</v>
      </c>
      <c r="D96" s="92"/>
      <c r="E96" s="92"/>
      <c r="F96" s="92"/>
      <c r="G96" s="92"/>
      <c r="H96" s="93"/>
      <c r="I96" s="93"/>
      <c r="J96" s="93"/>
      <c r="K96" s="93"/>
      <c r="L96" s="93"/>
      <c r="M96" s="93"/>
      <c r="N96" s="93"/>
      <c r="O96" s="93"/>
    </row>
    <row r="97" spans="1:15" ht="37.5" customHeight="1">
      <c r="A97" s="164"/>
      <c r="B97" s="153"/>
      <c r="C97" s="89" t="s">
        <v>181</v>
      </c>
      <c r="D97" s="74"/>
      <c r="E97" s="74"/>
      <c r="F97" s="74"/>
      <c r="G97" s="74"/>
      <c r="H97" s="63"/>
      <c r="I97" s="63"/>
      <c r="J97" s="63"/>
      <c r="K97" s="63"/>
      <c r="L97" s="63"/>
      <c r="M97" s="63"/>
      <c r="N97" s="63"/>
      <c r="O97" s="63"/>
    </row>
    <row r="98" spans="1:15" ht="25.5" customHeight="1">
      <c r="A98" s="164"/>
      <c r="B98" s="153"/>
      <c r="C98" s="89" t="s">
        <v>182</v>
      </c>
      <c r="D98" s="74"/>
      <c r="E98" s="74"/>
      <c r="F98" s="74"/>
      <c r="G98" s="74"/>
      <c r="H98" s="63"/>
      <c r="I98" s="63"/>
      <c r="J98" s="63"/>
      <c r="K98" s="63"/>
      <c r="L98" s="63"/>
      <c r="M98" s="63"/>
      <c r="N98" s="63"/>
      <c r="O98" s="63"/>
    </row>
    <row r="99" spans="1:15" ht="63">
      <c r="A99" s="164"/>
      <c r="B99" s="153"/>
      <c r="C99" s="89" t="s">
        <v>183</v>
      </c>
      <c r="D99" s="74"/>
      <c r="E99" s="74"/>
      <c r="F99" s="74"/>
      <c r="G99" s="74"/>
      <c r="H99" s="63"/>
      <c r="I99" s="63"/>
      <c r="J99" s="63"/>
      <c r="K99" s="63"/>
      <c r="L99" s="63"/>
      <c r="M99" s="63"/>
      <c r="N99" s="63"/>
      <c r="O99" s="63"/>
    </row>
    <row r="100" spans="1:15" ht="50.25" customHeight="1">
      <c r="A100" s="164"/>
      <c r="B100" s="153"/>
      <c r="C100" s="89" t="s">
        <v>184</v>
      </c>
      <c r="D100" s="74"/>
      <c r="E100" s="74"/>
      <c r="F100" s="74"/>
      <c r="G100" s="74"/>
      <c r="H100" s="63"/>
      <c r="I100" s="63"/>
      <c r="J100" s="63"/>
      <c r="K100" s="63"/>
      <c r="L100" s="63"/>
      <c r="M100" s="63"/>
      <c r="N100" s="63"/>
      <c r="O100" s="63"/>
    </row>
    <row r="101" spans="1:15" ht="20.25" customHeight="1">
      <c r="A101" s="164"/>
      <c r="B101" s="153"/>
      <c r="C101" s="89" t="s">
        <v>146</v>
      </c>
      <c r="D101" s="74"/>
      <c r="E101" s="74"/>
      <c r="F101" s="74"/>
      <c r="G101" s="74"/>
      <c r="H101" s="63"/>
      <c r="I101" s="63"/>
      <c r="J101" s="63"/>
      <c r="K101" s="63"/>
      <c r="L101" s="63"/>
      <c r="M101" s="63"/>
      <c r="N101" s="63"/>
      <c r="O101" s="63"/>
    </row>
    <row r="102" spans="1:15" ht="18.75" customHeight="1">
      <c r="A102" s="164"/>
      <c r="B102" s="153"/>
      <c r="C102" s="89" t="s">
        <v>185</v>
      </c>
      <c r="D102" s="74"/>
      <c r="E102" s="74"/>
      <c r="F102" s="74"/>
      <c r="G102" s="74"/>
      <c r="H102" s="63"/>
      <c r="I102" s="63"/>
      <c r="J102" s="63"/>
      <c r="K102" s="63"/>
      <c r="L102" s="63"/>
      <c r="M102" s="63"/>
      <c r="N102" s="63"/>
      <c r="O102" s="63"/>
    </row>
    <row r="103" spans="1:15" ht="27.75" hidden="1" customHeight="1">
      <c r="A103" s="118" t="s">
        <v>37</v>
      </c>
      <c r="B103" s="121"/>
      <c r="C103" s="162" t="s">
        <v>160</v>
      </c>
      <c r="D103" s="162"/>
      <c r="E103" s="162"/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</row>
    <row r="104" spans="1:15" ht="27.75" hidden="1" customHeight="1">
      <c r="A104" s="117"/>
      <c r="B104" s="153" t="s">
        <v>160</v>
      </c>
      <c r="C104" s="89" t="s">
        <v>179</v>
      </c>
      <c r="D104" s="120">
        <v>828</v>
      </c>
      <c r="E104" s="120" t="s">
        <v>147</v>
      </c>
      <c r="F104" s="120" t="s">
        <v>154</v>
      </c>
      <c r="G104" s="120">
        <v>500</v>
      </c>
      <c r="H104" s="63"/>
      <c r="I104" s="63">
        <v>0</v>
      </c>
      <c r="J104" s="63"/>
      <c r="K104" s="63"/>
      <c r="L104" s="63"/>
      <c r="M104" s="63"/>
      <c r="N104" s="63"/>
      <c r="O104" s="63">
        <f>SUM(H104:N104)</f>
        <v>0</v>
      </c>
    </row>
    <row r="105" spans="1:15" ht="31.5" hidden="1">
      <c r="A105" s="117"/>
      <c r="B105" s="153"/>
      <c r="C105" s="89" t="s">
        <v>180</v>
      </c>
      <c r="D105" s="74"/>
      <c r="E105" s="74"/>
      <c r="F105" s="74"/>
      <c r="G105" s="74"/>
      <c r="H105" s="93"/>
      <c r="I105" s="93"/>
      <c r="J105" s="93"/>
      <c r="K105" s="93"/>
      <c r="L105" s="93"/>
      <c r="M105" s="93"/>
      <c r="N105" s="93"/>
      <c r="O105" s="93"/>
    </row>
    <row r="106" spans="1:15" ht="31.5" hidden="1">
      <c r="A106" s="117"/>
      <c r="B106" s="153"/>
      <c r="C106" s="89" t="s">
        <v>181</v>
      </c>
      <c r="D106" s="74"/>
      <c r="E106" s="74"/>
      <c r="F106" s="74"/>
      <c r="G106" s="74"/>
      <c r="H106" s="63"/>
      <c r="I106" s="63"/>
      <c r="J106" s="63"/>
      <c r="K106" s="63"/>
      <c r="L106" s="63"/>
      <c r="M106" s="63"/>
      <c r="N106" s="63"/>
      <c r="O106" s="63"/>
    </row>
    <row r="107" spans="1:15" ht="15.75" hidden="1">
      <c r="A107" s="117"/>
      <c r="B107" s="153"/>
      <c r="C107" s="89" t="s">
        <v>182</v>
      </c>
      <c r="D107" s="120">
        <v>828</v>
      </c>
      <c r="E107" s="120" t="s">
        <v>147</v>
      </c>
      <c r="F107" s="120" t="s">
        <v>154</v>
      </c>
      <c r="G107" s="120">
        <v>500</v>
      </c>
      <c r="H107" s="63"/>
      <c r="I107" s="63"/>
      <c r="J107" s="63"/>
      <c r="K107" s="63"/>
      <c r="L107" s="63"/>
      <c r="M107" s="63"/>
      <c r="N107" s="63"/>
      <c r="O107" s="63">
        <f>SUM(H107:N107)</f>
        <v>0</v>
      </c>
    </row>
    <row r="108" spans="1:15" ht="63" hidden="1">
      <c r="A108" s="117"/>
      <c r="B108" s="153"/>
      <c r="C108" s="89" t="s">
        <v>183</v>
      </c>
      <c r="D108" s="74"/>
      <c r="E108" s="74"/>
      <c r="F108" s="74"/>
      <c r="G108" s="74"/>
      <c r="H108" s="63"/>
      <c r="I108" s="63"/>
      <c r="J108" s="63"/>
      <c r="K108" s="63"/>
      <c r="L108" s="63"/>
      <c r="M108" s="63"/>
      <c r="N108" s="63"/>
      <c r="O108" s="63"/>
    </row>
    <row r="109" spans="1:15" ht="47.25" hidden="1">
      <c r="A109" s="117"/>
      <c r="B109" s="153"/>
      <c r="C109" s="89" t="s">
        <v>184</v>
      </c>
      <c r="D109" s="74"/>
      <c r="E109" s="74"/>
      <c r="F109" s="74"/>
      <c r="G109" s="74"/>
      <c r="H109" s="93"/>
      <c r="I109" s="93"/>
      <c r="J109" s="93"/>
      <c r="K109" s="93"/>
      <c r="L109" s="93"/>
      <c r="M109" s="93"/>
      <c r="N109" s="93"/>
      <c r="O109" s="93"/>
    </row>
    <row r="110" spans="1:15" ht="15.75" hidden="1">
      <c r="A110" s="117"/>
      <c r="B110" s="153"/>
      <c r="C110" s="89" t="s">
        <v>146</v>
      </c>
      <c r="D110" s="74"/>
      <c r="E110" s="74"/>
      <c r="F110" s="74"/>
      <c r="G110" s="74"/>
      <c r="H110" s="63"/>
      <c r="I110" s="63">
        <f t="shared" ref="I110:N110" si="17">I30</f>
        <v>0</v>
      </c>
      <c r="J110" s="63">
        <f t="shared" si="17"/>
        <v>0</v>
      </c>
      <c r="K110" s="63">
        <f t="shared" si="17"/>
        <v>0</v>
      </c>
      <c r="L110" s="63">
        <f t="shared" si="17"/>
        <v>0</v>
      </c>
      <c r="M110" s="63">
        <f t="shared" si="17"/>
        <v>0</v>
      </c>
      <c r="N110" s="63">
        <f t="shared" si="17"/>
        <v>0</v>
      </c>
      <c r="O110" s="63">
        <f>SUM(H110:N110)</f>
        <v>0</v>
      </c>
    </row>
    <row r="111" spans="1:15" ht="15.75" hidden="1">
      <c r="A111" s="117"/>
      <c r="B111" s="153"/>
      <c r="C111" s="89" t="s">
        <v>185</v>
      </c>
      <c r="D111" s="74"/>
      <c r="E111" s="74"/>
      <c r="F111" s="74"/>
      <c r="G111" s="74"/>
      <c r="H111" s="63"/>
      <c r="I111" s="63"/>
      <c r="J111" s="63"/>
      <c r="K111" s="63"/>
      <c r="L111" s="63"/>
      <c r="M111" s="63"/>
      <c r="N111" s="63"/>
      <c r="O111" s="63"/>
    </row>
    <row r="112" spans="1:15" ht="25.5" customHeight="1">
      <c r="A112" s="164" t="s">
        <v>37</v>
      </c>
      <c r="B112" s="121"/>
      <c r="C112" s="162" t="s">
        <v>122</v>
      </c>
      <c r="D112" s="162"/>
      <c r="E112" s="162"/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</row>
    <row r="113" spans="1:16" ht="27" customHeight="1">
      <c r="A113" s="164"/>
      <c r="B113" s="166" t="s">
        <v>164</v>
      </c>
      <c r="C113" s="163" t="s">
        <v>179</v>
      </c>
      <c r="D113" s="120">
        <v>828</v>
      </c>
      <c r="E113" s="120" t="s">
        <v>147</v>
      </c>
      <c r="F113" s="120" t="s">
        <v>166</v>
      </c>
      <c r="G113" s="120">
        <v>200</v>
      </c>
      <c r="H113" s="63">
        <v>88921.3</v>
      </c>
      <c r="I113" s="78"/>
      <c r="J113" s="78"/>
      <c r="K113" s="78"/>
      <c r="L113" s="78"/>
      <c r="M113" s="78"/>
      <c r="N113" s="78"/>
      <c r="O113" s="63">
        <f t="shared" ref="O113:O114" si="18">SUM(H113:N113)</f>
        <v>88921.3</v>
      </c>
    </row>
    <row r="114" spans="1:16" ht="27" customHeight="1">
      <c r="A114" s="164"/>
      <c r="B114" s="166"/>
      <c r="C114" s="163"/>
      <c r="D114" s="92">
        <v>828</v>
      </c>
      <c r="E114" s="92" t="s">
        <v>147</v>
      </c>
      <c r="F114" s="92" t="s">
        <v>193</v>
      </c>
      <c r="G114" s="92">
        <v>200</v>
      </c>
      <c r="H114" s="63"/>
      <c r="I114" s="102">
        <f>246891.4-8000-4000</f>
        <v>234891.4</v>
      </c>
      <c r="J114" s="102">
        <v>552452</v>
      </c>
      <c r="K114" s="102">
        <v>722000</v>
      </c>
      <c r="L114" s="102">
        <v>250000</v>
      </c>
      <c r="M114" s="102">
        <v>250000</v>
      </c>
      <c r="N114" s="130">
        <v>250000</v>
      </c>
      <c r="O114" s="63">
        <f t="shared" si="18"/>
        <v>2259343.4</v>
      </c>
      <c r="P114" s="57" t="s">
        <v>226</v>
      </c>
    </row>
    <row r="115" spans="1:16" ht="31.5">
      <c r="A115" s="164"/>
      <c r="B115" s="166"/>
      <c r="C115" s="89" t="s">
        <v>180</v>
      </c>
      <c r="D115" s="74"/>
      <c r="E115" s="74"/>
      <c r="F115" s="74"/>
      <c r="G115" s="74"/>
      <c r="H115" s="93"/>
      <c r="I115" s="93"/>
      <c r="J115" s="93"/>
      <c r="K115" s="93"/>
      <c r="L115" s="93"/>
      <c r="M115" s="93"/>
      <c r="N115" s="93"/>
      <c r="O115" s="93"/>
    </row>
    <row r="116" spans="1:16" ht="31.5">
      <c r="A116" s="164"/>
      <c r="B116" s="166"/>
      <c r="C116" s="89" t="s">
        <v>181</v>
      </c>
      <c r="D116" s="74"/>
      <c r="E116" s="74"/>
      <c r="F116" s="74"/>
      <c r="G116" s="74"/>
      <c r="H116" s="63"/>
      <c r="I116" s="63"/>
      <c r="J116" s="63"/>
      <c r="K116" s="63"/>
      <c r="L116" s="63"/>
      <c r="M116" s="63"/>
      <c r="N116" s="63"/>
      <c r="O116" s="63"/>
    </row>
    <row r="117" spans="1:16" ht="15.75">
      <c r="A117" s="164"/>
      <c r="B117" s="166"/>
      <c r="C117" s="89" t="s">
        <v>182</v>
      </c>
      <c r="D117" s="74"/>
      <c r="E117" s="74"/>
      <c r="F117" s="74"/>
      <c r="G117" s="74"/>
      <c r="H117" s="63"/>
      <c r="I117" s="63"/>
      <c r="J117" s="63"/>
      <c r="K117" s="63"/>
      <c r="L117" s="63"/>
      <c r="M117" s="63"/>
      <c r="N117" s="63"/>
      <c r="O117" s="63"/>
    </row>
    <row r="118" spans="1:16" ht="63">
      <c r="A118" s="139"/>
      <c r="B118" s="166"/>
      <c r="C118" s="89" t="s">
        <v>183</v>
      </c>
      <c r="D118" s="74"/>
      <c r="E118" s="74"/>
      <c r="F118" s="74"/>
      <c r="G118" s="74"/>
      <c r="H118" s="63"/>
      <c r="I118" s="63"/>
      <c r="J118" s="63"/>
      <c r="K118" s="63"/>
      <c r="L118" s="63"/>
      <c r="M118" s="63"/>
      <c r="N118" s="63"/>
      <c r="O118" s="63"/>
    </row>
    <row r="119" spans="1:16" ht="51.75" customHeight="1">
      <c r="A119" s="139"/>
      <c r="B119" s="166"/>
      <c r="C119" s="89" t="s">
        <v>184</v>
      </c>
      <c r="D119" s="74"/>
      <c r="E119" s="74"/>
      <c r="F119" s="74"/>
      <c r="G119" s="74"/>
      <c r="H119" s="63"/>
      <c r="I119" s="63"/>
      <c r="J119" s="63"/>
      <c r="K119" s="63"/>
      <c r="L119" s="63"/>
      <c r="M119" s="63"/>
      <c r="N119" s="63"/>
      <c r="O119" s="63"/>
    </row>
    <row r="120" spans="1:16" ht="22.5" customHeight="1">
      <c r="A120" s="139"/>
      <c r="B120" s="166"/>
      <c r="C120" s="89" t="s">
        <v>146</v>
      </c>
      <c r="D120" s="74"/>
      <c r="E120" s="74"/>
      <c r="F120" s="74"/>
      <c r="G120" s="74"/>
      <c r="H120" s="63"/>
      <c r="I120" s="63"/>
      <c r="J120" s="63"/>
      <c r="K120" s="63"/>
      <c r="L120" s="63"/>
      <c r="M120" s="63"/>
      <c r="N120" s="63"/>
      <c r="O120" s="63"/>
    </row>
    <row r="121" spans="1:16" ht="20.25" customHeight="1">
      <c r="A121" s="139"/>
      <c r="B121" s="166"/>
      <c r="C121" s="89" t="s">
        <v>185</v>
      </c>
      <c r="D121" s="74"/>
      <c r="E121" s="74"/>
      <c r="F121" s="74"/>
      <c r="G121" s="74"/>
      <c r="H121" s="63"/>
      <c r="I121" s="63"/>
      <c r="J121" s="63"/>
      <c r="K121" s="63"/>
      <c r="L121" s="63"/>
      <c r="M121" s="63"/>
      <c r="N121" s="63"/>
      <c r="O121" s="63"/>
    </row>
    <row r="122" spans="1:16" ht="24.75" customHeight="1">
      <c r="A122" s="164" t="s">
        <v>39</v>
      </c>
      <c r="B122" s="121"/>
      <c r="C122" s="162" t="s">
        <v>125</v>
      </c>
      <c r="D122" s="162"/>
      <c r="E122" s="162"/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</row>
    <row r="123" spans="1:16" ht="31.5" customHeight="1">
      <c r="A123" s="164"/>
      <c r="B123" s="165" t="s">
        <v>168</v>
      </c>
      <c r="C123" s="163" t="s">
        <v>179</v>
      </c>
      <c r="D123" s="120">
        <v>828</v>
      </c>
      <c r="E123" s="120" t="s">
        <v>147</v>
      </c>
      <c r="F123" s="120" t="s">
        <v>166</v>
      </c>
      <c r="G123" s="120">
        <v>200</v>
      </c>
      <c r="H123" s="78"/>
      <c r="I123" s="78"/>
      <c r="J123" s="78"/>
      <c r="K123" s="78"/>
      <c r="L123" s="78"/>
      <c r="M123" s="78"/>
      <c r="N123" s="78"/>
      <c r="O123" s="63">
        <f t="shared" ref="O123:O124" si="19">SUM(H123:N123)</f>
        <v>0</v>
      </c>
    </row>
    <row r="124" spans="1:16" ht="27" customHeight="1">
      <c r="A124" s="164"/>
      <c r="B124" s="165"/>
      <c r="C124" s="163"/>
      <c r="D124" s="92">
        <v>828</v>
      </c>
      <c r="E124" s="92" t="s">
        <v>147</v>
      </c>
      <c r="F124" s="92" t="s">
        <v>194</v>
      </c>
      <c r="G124" s="92">
        <v>200</v>
      </c>
      <c r="H124" s="78"/>
      <c r="I124" s="78">
        <v>14524.4</v>
      </c>
      <c r="J124" s="94">
        <v>174800</v>
      </c>
      <c r="K124" s="94">
        <v>250000</v>
      </c>
      <c r="L124" s="94">
        <v>250000</v>
      </c>
      <c r="M124" s="94">
        <v>250000</v>
      </c>
      <c r="N124" s="94">
        <v>250000</v>
      </c>
      <c r="O124" s="63">
        <f t="shared" si="19"/>
        <v>1189324.3999999999</v>
      </c>
      <c r="P124" s="57" t="s">
        <v>227</v>
      </c>
    </row>
    <row r="125" spans="1:16" ht="31.5">
      <c r="A125" s="164"/>
      <c r="B125" s="117"/>
      <c r="C125" s="89" t="s">
        <v>180</v>
      </c>
      <c r="D125" s="74"/>
      <c r="E125" s="74"/>
      <c r="F125" s="74"/>
      <c r="G125" s="74"/>
      <c r="H125" s="93"/>
      <c r="I125" s="93"/>
      <c r="J125" s="93"/>
      <c r="K125" s="93"/>
      <c r="L125" s="93"/>
      <c r="M125" s="93"/>
      <c r="N125" s="93"/>
      <c r="O125" s="93"/>
    </row>
    <row r="126" spans="1:16" ht="31.5">
      <c r="A126" s="164"/>
      <c r="B126" s="117"/>
      <c r="C126" s="89" t="s">
        <v>181</v>
      </c>
      <c r="D126" s="74"/>
      <c r="E126" s="74"/>
      <c r="F126" s="74"/>
      <c r="G126" s="74"/>
      <c r="H126" s="63"/>
      <c r="I126" s="63"/>
      <c r="J126" s="63"/>
      <c r="K126" s="63"/>
      <c r="L126" s="63"/>
      <c r="M126" s="63"/>
      <c r="N126" s="63"/>
      <c r="O126" s="63"/>
    </row>
    <row r="127" spans="1:16" ht="15.75">
      <c r="A127" s="164"/>
      <c r="B127" s="117"/>
      <c r="C127" s="89" t="s">
        <v>182</v>
      </c>
      <c r="D127" s="74"/>
      <c r="E127" s="74"/>
      <c r="F127" s="74"/>
      <c r="G127" s="74"/>
      <c r="H127" s="63"/>
      <c r="I127" s="63"/>
      <c r="J127" s="63"/>
      <c r="K127" s="63"/>
      <c r="L127" s="63"/>
      <c r="M127" s="63"/>
      <c r="N127" s="63"/>
      <c r="O127" s="63"/>
    </row>
    <row r="128" spans="1:16" ht="63">
      <c r="A128" s="164"/>
      <c r="B128" s="117"/>
      <c r="C128" s="89" t="s">
        <v>183</v>
      </c>
      <c r="D128" s="74"/>
      <c r="E128" s="74"/>
      <c r="F128" s="74"/>
      <c r="G128" s="74"/>
      <c r="H128" s="63"/>
      <c r="I128" s="63"/>
      <c r="J128" s="63"/>
      <c r="K128" s="63"/>
      <c r="L128" s="63"/>
      <c r="M128" s="63"/>
      <c r="N128" s="63"/>
      <c r="O128" s="63"/>
    </row>
    <row r="129" spans="1:16" ht="47.25">
      <c r="A129" s="164"/>
      <c r="B129" s="117"/>
      <c r="C129" s="89" t="s">
        <v>184</v>
      </c>
      <c r="D129" s="74"/>
      <c r="E129" s="74"/>
      <c r="F129" s="74"/>
      <c r="G129" s="74"/>
      <c r="H129" s="63"/>
      <c r="I129" s="63"/>
      <c r="J129" s="63"/>
      <c r="K129" s="63"/>
      <c r="L129" s="63"/>
      <c r="M129" s="63"/>
      <c r="N129" s="63"/>
      <c r="O129" s="63"/>
    </row>
    <row r="130" spans="1:16" ht="23.25" customHeight="1">
      <c r="A130" s="164"/>
      <c r="B130" s="117"/>
      <c r="C130" s="89" t="s">
        <v>146</v>
      </c>
      <c r="D130" s="74"/>
      <c r="E130" s="74"/>
      <c r="F130" s="74"/>
      <c r="G130" s="74"/>
      <c r="H130" s="63"/>
      <c r="I130" s="63"/>
      <c r="J130" s="63"/>
      <c r="K130" s="63"/>
      <c r="L130" s="63"/>
      <c r="M130" s="63"/>
      <c r="N130" s="63"/>
      <c r="O130" s="63"/>
    </row>
    <row r="131" spans="1:16" ht="21.75" customHeight="1">
      <c r="A131" s="164"/>
      <c r="B131" s="117"/>
      <c r="C131" s="89" t="s">
        <v>185</v>
      </c>
      <c r="D131" s="74"/>
      <c r="E131" s="74"/>
      <c r="F131" s="74"/>
      <c r="G131" s="74"/>
      <c r="H131" s="63"/>
      <c r="I131" s="63"/>
      <c r="J131" s="63"/>
      <c r="K131" s="63"/>
      <c r="L131" s="63"/>
      <c r="M131" s="63"/>
      <c r="N131" s="63"/>
      <c r="O131" s="63"/>
    </row>
    <row r="132" spans="1:16" ht="35.25" customHeight="1">
      <c r="A132" s="164" t="s">
        <v>42</v>
      </c>
      <c r="B132" s="125"/>
      <c r="C132" s="162" t="s">
        <v>210</v>
      </c>
      <c r="D132" s="162"/>
      <c r="E132" s="162"/>
      <c r="F132" s="162"/>
      <c r="G132" s="162"/>
      <c r="H132" s="162"/>
      <c r="I132" s="162"/>
      <c r="J132" s="162"/>
      <c r="K132" s="162"/>
      <c r="L132" s="162"/>
      <c r="M132" s="162"/>
      <c r="N132" s="162"/>
      <c r="O132" s="162"/>
    </row>
    <row r="133" spans="1:16" ht="24" customHeight="1">
      <c r="A133" s="164"/>
      <c r="B133" s="153" t="s">
        <v>128</v>
      </c>
      <c r="C133" s="89" t="s">
        <v>179</v>
      </c>
      <c r="D133" s="92">
        <v>828</v>
      </c>
      <c r="E133" s="92" t="s">
        <v>147</v>
      </c>
      <c r="F133" s="126" t="s">
        <v>209</v>
      </c>
      <c r="G133" s="92">
        <v>200</v>
      </c>
      <c r="H133" s="63"/>
      <c r="I133" s="63"/>
      <c r="J133" s="102">
        <f>66970.8+50000</f>
        <v>116970.8</v>
      </c>
      <c r="K133" s="102">
        <v>305000</v>
      </c>
      <c r="L133" s="63"/>
      <c r="M133" s="63"/>
      <c r="N133" s="63"/>
      <c r="O133" s="63">
        <f>SUM(H133:N133)</f>
        <v>421970.8</v>
      </c>
      <c r="P133" s="57" t="s">
        <v>228</v>
      </c>
    </row>
    <row r="134" spans="1:16" ht="31.5">
      <c r="A134" s="164"/>
      <c r="B134" s="153"/>
      <c r="C134" s="89" t="s">
        <v>180</v>
      </c>
      <c r="D134" s="74"/>
      <c r="E134" s="74"/>
      <c r="F134" s="74"/>
      <c r="G134" s="74"/>
      <c r="H134" s="93"/>
      <c r="I134" s="93"/>
      <c r="J134" s="93"/>
      <c r="K134" s="93"/>
      <c r="L134" s="93"/>
      <c r="M134" s="93"/>
      <c r="N134" s="93"/>
      <c r="O134" s="93"/>
    </row>
    <row r="135" spans="1:16" ht="31.5">
      <c r="A135" s="164"/>
      <c r="B135" s="153"/>
      <c r="C135" s="89" t="s">
        <v>181</v>
      </c>
      <c r="D135" s="74"/>
      <c r="E135" s="74"/>
      <c r="F135" s="74"/>
      <c r="G135" s="74"/>
      <c r="H135" s="63"/>
      <c r="I135" s="63"/>
      <c r="J135" s="63"/>
      <c r="K135" s="63"/>
      <c r="L135" s="63"/>
      <c r="M135" s="63"/>
      <c r="N135" s="63"/>
      <c r="O135" s="63"/>
    </row>
    <row r="136" spans="1:16" ht="15.75">
      <c r="A136" s="164"/>
      <c r="B136" s="153"/>
      <c r="C136" s="89" t="s">
        <v>182</v>
      </c>
      <c r="D136" s="74"/>
      <c r="E136" s="74"/>
      <c r="F136" s="74"/>
      <c r="G136" s="74"/>
      <c r="H136" s="63"/>
      <c r="I136" s="63"/>
      <c r="J136" s="63"/>
      <c r="K136" s="63"/>
      <c r="L136" s="63"/>
      <c r="M136" s="63"/>
      <c r="N136" s="63"/>
      <c r="O136" s="63"/>
    </row>
    <row r="137" spans="1:16" ht="70.5" customHeight="1">
      <c r="A137" s="164"/>
      <c r="B137" s="153"/>
      <c r="C137" s="89" t="s">
        <v>183</v>
      </c>
      <c r="D137" s="74"/>
      <c r="E137" s="74"/>
      <c r="F137" s="74"/>
      <c r="G137" s="74"/>
      <c r="H137" s="63"/>
      <c r="I137" s="63"/>
      <c r="J137" s="63"/>
      <c r="K137" s="63"/>
      <c r="L137" s="63"/>
      <c r="M137" s="63"/>
      <c r="N137" s="63"/>
      <c r="O137" s="63"/>
    </row>
    <row r="138" spans="1:16" ht="54.75" customHeight="1">
      <c r="A138" s="139"/>
      <c r="B138" s="153"/>
      <c r="C138" s="89" t="s">
        <v>184</v>
      </c>
      <c r="D138" s="74"/>
      <c r="E138" s="74"/>
      <c r="F138" s="74"/>
      <c r="G138" s="74"/>
      <c r="H138" s="63"/>
      <c r="I138" s="63"/>
      <c r="J138" s="63"/>
      <c r="K138" s="63"/>
      <c r="L138" s="63"/>
      <c r="M138" s="63"/>
      <c r="N138" s="63"/>
      <c r="O138" s="63"/>
    </row>
    <row r="139" spans="1:16" ht="27.75" customHeight="1">
      <c r="A139" s="139"/>
      <c r="B139" s="153"/>
      <c r="C139" s="89" t="s">
        <v>146</v>
      </c>
      <c r="D139" s="74"/>
      <c r="E139" s="74"/>
      <c r="F139" s="74"/>
      <c r="G139" s="74"/>
      <c r="H139" s="63"/>
      <c r="I139" s="63"/>
      <c r="J139" s="63"/>
      <c r="K139" s="63"/>
      <c r="L139" s="63"/>
      <c r="M139" s="63"/>
      <c r="N139" s="63"/>
      <c r="O139" s="63"/>
    </row>
    <row r="140" spans="1:16" ht="30" customHeight="1">
      <c r="A140" s="139"/>
      <c r="B140" s="153"/>
      <c r="C140" s="89" t="s">
        <v>185</v>
      </c>
      <c r="D140" s="74"/>
      <c r="E140" s="74"/>
      <c r="F140" s="74"/>
      <c r="G140" s="74"/>
      <c r="H140" s="63"/>
      <c r="I140" s="63"/>
      <c r="J140" s="63"/>
      <c r="K140" s="63"/>
      <c r="L140" s="63"/>
      <c r="M140" s="63"/>
      <c r="N140" s="63"/>
      <c r="O140" s="63"/>
    </row>
    <row r="141" spans="1:16" ht="29.25" customHeight="1">
      <c r="A141" s="164" t="s">
        <v>44</v>
      </c>
      <c r="B141" s="119"/>
      <c r="C141" s="162" t="s">
        <v>131</v>
      </c>
      <c r="D141" s="162"/>
      <c r="E141" s="162"/>
      <c r="F141" s="162"/>
      <c r="G141" s="162"/>
      <c r="H141" s="162"/>
      <c r="I141" s="162"/>
      <c r="J141" s="162"/>
      <c r="K141" s="162"/>
      <c r="L141" s="162"/>
      <c r="M141" s="162"/>
      <c r="N141" s="162"/>
      <c r="O141" s="162"/>
    </row>
    <row r="142" spans="1:16" ht="31.5" customHeight="1">
      <c r="A142" s="164"/>
      <c r="B142" s="153" t="s">
        <v>173</v>
      </c>
      <c r="C142" s="163" t="s">
        <v>179</v>
      </c>
      <c r="D142" s="120">
        <v>828</v>
      </c>
      <c r="E142" s="120" t="s">
        <v>147</v>
      </c>
      <c r="F142" s="120" t="s">
        <v>148</v>
      </c>
      <c r="G142" s="120">
        <v>200</v>
      </c>
      <c r="H142" s="63">
        <v>34176.199999999997</v>
      </c>
      <c r="I142" s="63"/>
      <c r="J142" s="63"/>
      <c r="K142" s="63"/>
      <c r="L142" s="63"/>
      <c r="M142" s="63"/>
      <c r="N142" s="63"/>
      <c r="O142" s="63">
        <f t="shared" ref="O142:O147" si="20">SUM(H142:N142)</f>
        <v>34176.199999999997</v>
      </c>
    </row>
    <row r="143" spans="1:16" ht="29.25" customHeight="1">
      <c r="A143" s="164"/>
      <c r="B143" s="153"/>
      <c r="C143" s="163"/>
      <c r="D143" s="120">
        <v>828</v>
      </c>
      <c r="E143" s="120" t="s">
        <v>147</v>
      </c>
      <c r="F143" s="120" t="s">
        <v>148</v>
      </c>
      <c r="G143" s="120">
        <v>800</v>
      </c>
      <c r="H143" s="63">
        <v>587</v>
      </c>
      <c r="I143" s="63"/>
      <c r="J143" s="63"/>
      <c r="K143" s="63"/>
      <c r="L143" s="63"/>
      <c r="M143" s="63"/>
      <c r="N143" s="63"/>
      <c r="O143" s="63">
        <f t="shared" si="20"/>
        <v>587</v>
      </c>
    </row>
    <row r="144" spans="1:16" ht="30" customHeight="1">
      <c r="A144" s="164"/>
      <c r="B144" s="153"/>
      <c r="C144" s="163"/>
      <c r="D144" s="120">
        <v>828</v>
      </c>
      <c r="E144" s="120" t="s">
        <v>147</v>
      </c>
      <c r="F144" s="120" t="s">
        <v>166</v>
      </c>
      <c r="G144" s="120">
        <v>200</v>
      </c>
      <c r="H144" s="78">
        <v>32508.6</v>
      </c>
      <c r="I144" s="63"/>
      <c r="J144" s="63"/>
      <c r="K144" s="63"/>
      <c r="L144" s="63"/>
      <c r="M144" s="63"/>
      <c r="N144" s="63"/>
      <c r="O144" s="63">
        <f t="shared" si="20"/>
        <v>32508.6</v>
      </c>
    </row>
    <row r="145" spans="1:16" ht="30" customHeight="1">
      <c r="A145" s="164"/>
      <c r="B145" s="153"/>
      <c r="C145" s="163"/>
      <c r="D145" s="120">
        <v>828</v>
      </c>
      <c r="E145" s="120" t="s">
        <v>147</v>
      </c>
      <c r="F145" s="120" t="s">
        <v>166</v>
      </c>
      <c r="G145" s="120">
        <v>800</v>
      </c>
      <c r="H145" s="78">
        <v>8883.2000000000007</v>
      </c>
      <c r="I145" s="63"/>
      <c r="J145" s="63"/>
      <c r="K145" s="63"/>
      <c r="L145" s="63"/>
      <c r="M145" s="63"/>
      <c r="N145" s="63"/>
      <c r="O145" s="63">
        <f t="shared" si="20"/>
        <v>8883.2000000000007</v>
      </c>
    </row>
    <row r="146" spans="1:16" ht="30" customHeight="1">
      <c r="A146" s="164"/>
      <c r="B146" s="153"/>
      <c r="C146" s="163"/>
      <c r="D146" s="92">
        <v>828</v>
      </c>
      <c r="E146" s="92" t="s">
        <v>147</v>
      </c>
      <c r="F146" s="92" t="s">
        <v>195</v>
      </c>
      <c r="G146" s="92">
        <v>200</v>
      </c>
      <c r="H146" s="78"/>
      <c r="I146" s="128">
        <v>76932.7</v>
      </c>
      <c r="J146" s="128">
        <v>119417</v>
      </c>
      <c r="K146" s="128">
        <v>105600</v>
      </c>
      <c r="L146" s="128">
        <v>105000</v>
      </c>
      <c r="M146" s="95">
        <v>105000</v>
      </c>
      <c r="N146" s="95">
        <v>105000</v>
      </c>
      <c r="O146" s="63">
        <f t="shared" si="20"/>
        <v>616949.69999999995</v>
      </c>
      <c r="P146" s="57" t="s">
        <v>229</v>
      </c>
    </row>
    <row r="147" spans="1:16" ht="30" customHeight="1">
      <c r="A147" s="164"/>
      <c r="B147" s="153"/>
      <c r="C147" s="163"/>
      <c r="D147" s="92">
        <v>828</v>
      </c>
      <c r="E147" s="92" t="s">
        <v>147</v>
      </c>
      <c r="F147" s="92" t="s">
        <v>195</v>
      </c>
      <c r="G147" s="92">
        <v>800</v>
      </c>
      <c r="H147" s="78"/>
      <c r="I147" s="128">
        <v>8893.6</v>
      </c>
      <c r="J147" s="128"/>
      <c r="K147" s="128"/>
      <c r="L147" s="128"/>
      <c r="M147" s="95"/>
      <c r="N147" s="133"/>
      <c r="O147" s="63">
        <f t="shared" si="20"/>
        <v>8893.6</v>
      </c>
      <c r="P147" s="57" t="s">
        <v>229</v>
      </c>
    </row>
    <row r="148" spans="1:16" ht="31.5">
      <c r="A148" s="164"/>
      <c r="B148" s="153"/>
      <c r="C148" s="89" t="s">
        <v>180</v>
      </c>
      <c r="D148" s="74"/>
      <c r="E148" s="74"/>
      <c r="F148" s="74"/>
      <c r="G148" s="74"/>
      <c r="H148" s="63"/>
      <c r="I148" s="63"/>
      <c r="J148" s="63"/>
      <c r="K148" s="63"/>
      <c r="L148" s="63"/>
      <c r="M148" s="63"/>
      <c r="N148" s="63"/>
      <c r="O148" s="63"/>
    </row>
    <row r="149" spans="1:16" ht="31.5">
      <c r="A149" s="164"/>
      <c r="B149" s="153"/>
      <c r="C149" s="89" t="s">
        <v>181</v>
      </c>
      <c r="D149" s="74"/>
      <c r="E149" s="74"/>
      <c r="F149" s="74"/>
      <c r="G149" s="74"/>
      <c r="H149" s="63"/>
      <c r="I149" s="63"/>
      <c r="J149" s="63"/>
      <c r="K149" s="63"/>
      <c r="L149" s="63"/>
      <c r="M149" s="63"/>
      <c r="N149" s="63"/>
      <c r="O149" s="63"/>
    </row>
    <row r="150" spans="1:16" ht="22.5" customHeight="1">
      <c r="A150" s="164"/>
      <c r="B150" s="153"/>
      <c r="C150" s="89" t="s">
        <v>182</v>
      </c>
      <c r="D150" s="74"/>
      <c r="E150" s="74"/>
      <c r="F150" s="74"/>
      <c r="G150" s="74"/>
      <c r="H150" s="63"/>
      <c r="I150" s="63"/>
      <c r="J150" s="63"/>
      <c r="K150" s="63"/>
      <c r="L150" s="63"/>
      <c r="M150" s="63"/>
      <c r="N150" s="63"/>
      <c r="O150" s="63"/>
    </row>
    <row r="151" spans="1:16" ht="63">
      <c r="A151" s="164"/>
      <c r="B151" s="153"/>
      <c r="C151" s="89" t="s">
        <v>183</v>
      </c>
      <c r="D151" s="74"/>
      <c r="E151" s="74"/>
      <c r="F151" s="74"/>
      <c r="G151" s="74"/>
      <c r="H151" s="63"/>
      <c r="I151" s="63"/>
      <c r="J151" s="63"/>
      <c r="K151" s="63"/>
      <c r="L151" s="63"/>
      <c r="M151" s="63"/>
      <c r="N151" s="63"/>
      <c r="O151" s="63"/>
    </row>
    <row r="152" spans="1:16" ht="49.5" customHeight="1">
      <c r="A152" s="164"/>
      <c r="B152" s="153"/>
      <c r="C152" s="89" t="s">
        <v>184</v>
      </c>
      <c r="D152" s="74"/>
      <c r="E152" s="74"/>
      <c r="F152" s="74"/>
      <c r="G152" s="74"/>
      <c r="H152" s="63"/>
      <c r="I152" s="63"/>
      <c r="J152" s="63"/>
      <c r="K152" s="63"/>
      <c r="L152" s="63"/>
      <c r="M152" s="63"/>
      <c r="N152" s="63"/>
      <c r="O152" s="63"/>
    </row>
    <row r="153" spans="1:16" ht="18" customHeight="1">
      <c r="A153" s="164"/>
      <c r="B153" s="153"/>
      <c r="C153" s="89" t="s">
        <v>146</v>
      </c>
      <c r="D153" s="74"/>
      <c r="E153" s="74"/>
      <c r="F153" s="74"/>
      <c r="G153" s="74"/>
      <c r="H153" s="63"/>
      <c r="I153" s="63"/>
      <c r="J153" s="63"/>
      <c r="K153" s="63"/>
      <c r="L153" s="63"/>
      <c r="M153" s="63"/>
      <c r="N153" s="63"/>
      <c r="O153" s="63"/>
    </row>
    <row r="154" spans="1:16" ht="15.75">
      <c r="A154" s="164"/>
      <c r="B154" s="153"/>
      <c r="C154" s="89" t="s">
        <v>185</v>
      </c>
      <c r="D154" s="74"/>
      <c r="E154" s="74"/>
      <c r="F154" s="74"/>
      <c r="G154" s="74"/>
      <c r="H154" s="63"/>
      <c r="I154" s="63"/>
      <c r="J154" s="63"/>
      <c r="K154" s="63"/>
      <c r="L154" s="63"/>
      <c r="M154" s="63"/>
      <c r="N154" s="63"/>
      <c r="O154" s="63"/>
    </row>
    <row r="155" spans="1:16" ht="30" hidden="1" customHeight="1">
      <c r="A155" s="93"/>
      <c r="B155" s="93"/>
      <c r="C155" s="96" t="s">
        <v>196</v>
      </c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</row>
  </sheetData>
  <mergeCells count="66">
    <mergeCell ref="A45:A53"/>
    <mergeCell ref="A54:A66"/>
    <mergeCell ref="A67:A70"/>
    <mergeCell ref="A71:A80"/>
    <mergeCell ref="A81:A87"/>
    <mergeCell ref="A2:O2"/>
    <mergeCell ref="A5:A6"/>
    <mergeCell ref="B5:B6"/>
    <mergeCell ref="C5:C6"/>
    <mergeCell ref="D5:G5"/>
    <mergeCell ref="H5:O5"/>
    <mergeCell ref="D6:G6"/>
    <mergeCell ref="A8:A11"/>
    <mergeCell ref="B8:B11"/>
    <mergeCell ref="B12:B16"/>
    <mergeCell ref="A14:A16"/>
    <mergeCell ref="B17:B19"/>
    <mergeCell ref="B20:B23"/>
    <mergeCell ref="B24:B26"/>
    <mergeCell ref="B27:B30"/>
    <mergeCell ref="B31:B33"/>
    <mergeCell ref="B34:B35"/>
    <mergeCell ref="B36:B37"/>
    <mergeCell ref="B38:B39"/>
    <mergeCell ref="A42:A43"/>
    <mergeCell ref="B42:B43"/>
    <mergeCell ref="C42:C43"/>
    <mergeCell ref="D42:G42"/>
    <mergeCell ref="H42:O42"/>
    <mergeCell ref="D43:G43"/>
    <mergeCell ref="C45:O45"/>
    <mergeCell ref="B46:B53"/>
    <mergeCell ref="C54:O54"/>
    <mergeCell ref="B55:B70"/>
    <mergeCell ref="C55:C63"/>
    <mergeCell ref="C71:O71"/>
    <mergeCell ref="B72:B80"/>
    <mergeCell ref="C72:C73"/>
    <mergeCell ref="C81:O81"/>
    <mergeCell ref="B82:B92"/>
    <mergeCell ref="C82:C83"/>
    <mergeCell ref="C86:C87"/>
    <mergeCell ref="A88:A92"/>
    <mergeCell ref="C93:O93"/>
    <mergeCell ref="B94:B102"/>
    <mergeCell ref="C94:C95"/>
    <mergeCell ref="C103:O103"/>
    <mergeCell ref="A93:A102"/>
    <mergeCell ref="B104:B111"/>
    <mergeCell ref="C112:O112"/>
    <mergeCell ref="B113:B121"/>
    <mergeCell ref="C113:C114"/>
    <mergeCell ref="A112:A117"/>
    <mergeCell ref="A118:A121"/>
    <mergeCell ref="C122:O122"/>
    <mergeCell ref="B123:B124"/>
    <mergeCell ref="C123:C124"/>
    <mergeCell ref="C132:O132"/>
    <mergeCell ref="A122:A131"/>
    <mergeCell ref="A132:A137"/>
    <mergeCell ref="B133:B140"/>
    <mergeCell ref="C141:O141"/>
    <mergeCell ref="B142:B154"/>
    <mergeCell ref="C142:C147"/>
    <mergeCell ref="A138:A140"/>
    <mergeCell ref="A141:A154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6" firstPageNumber="60" fitToHeight="16" orientation="landscape" useFirstPageNumber="1" horizontalDpi="300" verticalDpi="300" r:id="rId1"/>
  <headerFooter>
    <oddHeader>&amp;C&amp;"Times New Roman,обычный"&amp;12&amp;P</oddHeader>
  </headerFooter>
  <rowBreaks count="5" manualBreakCount="5">
    <brk id="67" max="16383" man="1"/>
    <brk id="70" max="16383" man="1"/>
    <brk id="92" max="16383" man="1"/>
    <brk id="100" max="16383" man="1"/>
    <brk id="1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2. Показатели КПМ</vt:lpstr>
      <vt:lpstr>3.Показатели КПМ по месяцам </vt:lpstr>
      <vt:lpstr>4. Показатели КПМ по МО </vt:lpstr>
      <vt:lpstr>5. Мероприятия КПМ </vt:lpstr>
      <vt:lpstr>6. Финансовое обеспечение .</vt:lpstr>
      <vt:lpstr>'4. Показатели КПМ по МО '!Заголовки_для_печати</vt:lpstr>
      <vt:lpstr>'5. Мероприятия КПМ '!Заголовки_для_печати</vt:lpstr>
      <vt:lpstr>'6. Финансовое обеспечение .'!Заголовки_для_печати</vt:lpstr>
      <vt:lpstr>'2. Показатели КПМ'!Область_печати</vt:lpstr>
      <vt:lpstr>'3.Показатели КПМ по месяцам '!Область_печати</vt:lpstr>
      <vt:lpstr>'4. Показатели КПМ по МО '!Область_печати</vt:lpstr>
      <vt:lpstr>'5. Мероприятия КПМ '!Область_печати</vt:lpstr>
      <vt:lpstr>'6. Финансовое обеспечение 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Кондакова Анна Юрьевна</dc:creator>
  <dc:description/>
  <cp:lastModifiedBy>Шеховцова</cp:lastModifiedBy>
  <cp:revision>5</cp:revision>
  <cp:lastPrinted>2025-12-15T07:47:52Z</cp:lastPrinted>
  <dcterms:created xsi:type="dcterms:W3CDTF">2023-03-30T13:12:42Z</dcterms:created>
  <dcterms:modified xsi:type="dcterms:W3CDTF">2025-12-15T09:39:33Z</dcterms:modified>
  <dc:language>ru-RU</dc:language>
</cp:coreProperties>
</file>